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122" lockStructure="1"/>
  <bookViews>
    <workbookView xWindow="480" yWindow="75" windowWidth="15600" windowHeight="11760"/>
  </bookViews>
  <sheets>
    <sheet name="Sheet1" sheetId="1" r:id="rId1"/>
    <sheet name="Sheet2" sheetId="2" state="hidden" r:id="rId2"/>
    <sheet name="Sheet3" sheetId="3" state="hidden" r:id="rId3"/>
    <sheet name="DV-IDENTITY-0" sheetId="4" state="veryHidden" r:id="rId4"/>
  </sheets>
  <definedNames>
    <definedName name="A">Sheet2!$D$1:$D$10</definedName>
    <definedName name="B">Sheet2!$D$1:$D$9</definedName>
    <definedName name="_xlnm.Print_Area" localSheetId="0">Sheet1!$A$1:$AA$54</definedName>
    <definedName name="H">Sheet2!$E$1:$E$3</definedName>
    <definedName name="X">Sheet2!$A$1:$A$2</definedName>
    <definedName name="Y">Sheet2!$B$1:$B$5</definedName>
    <definedName name="Z">Sheet2!$C$1:$C$6</definedName>
  </definedNames>
  <calcPr calcId="145621"/>
</workbook>
</file>

<file path=xl/calcChain.xml><?xml version="1.0" encoding="utf-8"?>
<calcChain xmlns="http://schemas.openxmlformats.org/spreadsheetml/2006/main">
  <c r="A14" i="4" l="1"/>
  <c r="B14" i="4"/>
  <c r="C14" i="4"/>
  <c r="D14" i="4"/>
  <c r="E14" i="4"/>
  <c r="F14" i="4"/>
  <c r="G14" i="4"/>
  <c r="H14" i="4"/>
  <c r="I14" i="4"/>
  <c r="J14" i="4"/>
  <c r="K14" i="4"/>
  <c r="L14" i="4"/>
  <c r="M14" i="4"/>
  <c r="N14" i="4"/>
  <c r="O14" i="4"/>
  <c r="P14" i="4"/>
  <c r="Q14" i="4"/>
  <c r="R14" i="4"/>
  <c r="S14" i="4"/>
  <c r="T14" i="4"/>
  <c r="U14" i="4"/>
  <c r="V14" i="4"/>
  <c r="W14" i="4"/>
  <c r="X14" i="4"/>
  <c r="Y14" i="4"/>
  <c r="Z14" i="4"/>
  <c r="AA14" i="4"/>
  <c r="AB14" i="4"/>
  <c r="AC14" i="4"/>
  <c r="AD14" i="4"/>
  <c r="AE14" i="4"/>
  <c r="AF14" i="4"/>
  <c r="AG14" i="4"/>
  <c r="AH14" i="4"/>
  <c r="AI14" i="4"/>
  <c r="AJ14" i="4"/>
  <c r="AK14" i="4"/>
  <c r="AL14" i="4"/>
  <c r="AM14" i="4"/>
  <c r="AN14" i="4"/>
  <c r="AO14" i="4"/>
  <c r="AP14" i="4"/>
  <c r="AQ14" i="4"/>
  <c r="AR14" i="4"/>
  <c r="AS14" i="4"/>
  <c r="AT14" i="4"/>
  <c r="AU14" i="4"/>
  <c r="AV14" i="4"/>
  <c r="AW14" i="4"/>
  <c r="AX14" i="4"/>
  <c r="AY14" i="4"/>
  <c r="AZ14" i="4"/>
  <c r="BA14" i="4"/>
  <c r="BB14" i="4"/>
  <c r="BC14" i="4"/>
  <c r="BD14" i="4"/>
  <c r="BE14" i="4"/>
  <c r="BF14" i="4"/>
  <c r="BG14" i="4"/>
  <c r="BH14" i="4"/>
  <c r="BI14" i="4"/>
  <c r="BJ14" i="4"/>
  <c r="BK14" i="4"/>
  <c r="BL14" i="4"/>
  <c r="BM14" i="4"/>
  <c r="BN14" i="4"/>
  <c r="BO14" i="4"/>
  <c r="BP14" i="4"/>
  <c r="BQ14" i="4"/>
  <c r="BR14" i="4"/>
  <c r="BS14" i="4"/>
  <c r="BT14" i="4"/>
  <c r="BU14" i="4"/>
  <c r="BV14" i="4"/>
  <c r="BW14" i="4"/>
  <c r="BX14" i="4"/>
  <c r="BY14" i="4"/>
  <c r="BZ14" i="4"/>
  <c r="CA14" i="4"/>
  <c r="CB14" i="4"/>
  <c r="CC14" i="4"/>
  <c r="CD14" i="4"/>
  <c r="CE14" i="4"/>
  <c r="CF14" i="4"/>
  <c r="CG14" i="4"/>
  <c r="CH14" i="4"/>
  <c r="CI14" i="4"/>
  <c r="CJ14" i="4"/>
  <c r="CK14" i="4"/>
  <c r="CL14" i="4"/>
  <c r="A13" i="4"/>
  <c r="B13" i="4"/>
  <c r="C13" i="4"/>
  <c r="D13" i="4"/>
  <c r="E13" i="4"/>
  <c r="F13" i="4"/>
  <c r="G13" i="4"/>
  <c r="H13" i="4"/>
  <c r="I13" i="4"/>
  <c r="J13" i="4"/>
  <c r="K13" i="4"/>
  <c r="L13" i="4"/>
  <c r="M13" i="4"/>
  <c r="N13" i="4"/>
  <c r="O13" i="4"/>
  <c r="P13" i="4"/>
  <c r="Q13" i="4"/>
  <c r="R13" i="4"/>
  <c r="S13" i="4"/>
  <c r="T13" i="4"/>
  <c r="U13" i="4"/>
  <c r="V13" i="4"/>
  <c r="W13" i="4"/>
  <c r="X13" i="4"/>
  <c r="Y13" i="4"/>
  <c r="A12"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AZ12" i="4"/>
  <c r="BA12" i="4"/>
  <c r="BB12" i="4"/>
  <c r="BC12" i="4"/>
  <c r="BD12" i="4"/>
  <c r="BE12" i="4"/>
  <c r="BF12" i="4"/>
  <c r="BG12" i="4"/>
  <c r="BH12" i="4"/>
  <c r="BI12" i="4"/>
  <c r="BJ12" i="4"/>
  <c r="BK12" i="4"/>
  <c r="BL12" i="4"/>
  <c r="BM12" i="4"/>
  <c r="BN12" i="4"/>
  <c r="BO12" i="4"/>
  <c r="BP12" i="4"/>
  <c r="BQ12" i="4"/>
  <c r="BR12" i="4"/>
  <c r="BS12" i="4"/>
  <c r="BT12" i="4"/>
  <c r="BU12" i="4"/>
  <c r="BV12" i="4"/>
  <c r="BW12" i="4"/>
  <c r="BX12" i="4"/>
  <c r="BY12" i="4"/>
  <c r="BZ12" i="4"/>
  <c r="CA12" i="4"/>
  <c r="CB12" i="4"/>
  <c r="CC12" i="4"/>
  <c r="CD12" i="4"/>
  <c r="CE12" i="4"/>
  <c r="CF12" i="4"/>
  <c r="CG12" i="4"/>
  <c r="CH12" i="4"/>
  <c r="CI12" i="4"/>
  <c r="CJ12" i="4"/>
  <c r="CK12" i="4"/>
  <c r="CL12" i="4"/>
  <c r="CM12" i="4"/>
  <c r="CN12" i="4"/>
  <c r="CO12" i="4"/>
  <c r="CP12" i="4"/>
  <c r="CQ12" i="4"/>
  <c r="CR12" i="4"/>
  <c r="CS12" i="4"/>
  <c r="CT12" i="4"/>
  <c r="CU12" i="4"/>
  <c r="CV12" i="4"/>
  <c r="CW12" i="4"/>
  <c r="CX12" i="4"/>
  <c r="CY12" i="4"/>
  <c r="CZ12" i="4"/>
  <c r="DA12" i="4"/>
  <c r="DB12" i="4"/>
  <c r="DC12" i="4"/>
  <c r="DD12" i="4"/>
  <c r="DE12" i="4"/>
  <c r="DF12" i="4"/>
  <c r="DG12" i="4"/>
  <c r="DH12" i="4"/>
  <c r="DI12" i="4"/>
  <c r="DJ12" i="4"/>
  <c r="DK12" i="4"/>
  <c r="DL12" i="4"/>
  <c r="DM12" i="4"/>
  <c r="DN12" i="4"/>
  <c r="DO12" i="4"/>
  <c r="DP12" i="4"/>
  <c r="DQ12" i="4"/>
  <c r="DR12" i="4"/>
  <c r="DS12" i="4"/>
  <c r="DT12" i="4"/>
  <c r="DU12" i="4"/>
  <c r="DV12" i="4"/>
  <c r="DW12" i="4"/>
  <c r="DX12" i="4"/>
  <c r="DY12" i="4"/>
  <c r="DZ12" i="4"/>
  <c r="EA12" i="4"/>
  <c r="EB12" i="4"/>
  <c r="EC12" i="4"/>
  <c r="ED12" i="4"/>
  <c r="EE12" i="4"/>
  <c r="EF12" i="4"/>
  <c r="EG12" i="4"/>
  <c r="EH12" i="4"/>
  <c r="EI12" i="4"/>
  <c r="EJ12" i="4"/>
  <c r="EK12" i="4"/>
  <c r="EL12" i="4"/>
  <c r="EM12" i="4"/>
  <c r="EN12" i="4"/>
  <c r="EO12" i="4"/>
  <c r="EP12" i="4"/>
  <c r="EQ12" i="4"/>
  <c r="ER12" i="4"/>
  <c r="ES12" i="4"/>
  <c r="ET12" i="4"/>
  <c r="EU12" i="4"/>
  <c r="EV12" i="4"/>
  <c r="EW12" i="4"/>
  <c r="EX12" i="4"/>
  <c r="EY12" i="4"/>
  <c r="EZ12" i="4"/>
  <c r="FA12" i="4"/>
  <c r="FB12" i="4"/>
  <c r="FC12" i="4"/>
  <c r="FD12" i="4"/>
  <c r="FE12" i="4"/>
  <c r="FF12" i="4"/>
  <c r="FG12" i="4"/>
  <c r="FH12" i="4"/>
  <c r="FI12" i="4"/>
  <c r="FJ12" i="4"/>
  <c r="FK12" i="4"/>
  <c r="FL12" i="4"/>
  <c r="FM12" i="4"/>
  <c r="FN12" i="4"/>
  <c r="FO12" i="4"/>
  <c r="FP12" i="4"/>
  <c r="FQ12" i="4"/>
  <c r="FR12" i="4"/>
  <c r="FS12" i="4"/>
  <c r="FT12" i="4"/>
  <c r="FU12" i="4"/>
  <c r="FV12" i="4"/>
  <c r="FW12" i="4"/>
  <c r="FX12" i="4"/>
  <c r="FY12" i="4"/>
  <c r="FZ12" i="4"/>
  <c r="GA12" i="4"/>
  <c r="GB12" i="4"/>
  <c r="GC12" i="4"/>
  <c r="GD12" i="4"/>
  <c r="GE12" i="4"/>
  <c r="GF12" i="4"/>
  <c r="GG12" i="4"/>
  <c r="GH12" i="4"/>
  <c r="GI12" i="4"/>
  <c r="GJ12" i="4"/>
  <c r="GK12" i="4"/>
  <c r="GL12" i="4"/>
  <c r="GM12" i="4"/>
  <c r="GN12" i="4"/>
  <c r="GO12" i="4"/>
  <c r="GP12" i="4"/>
  <c r="GQ12" i="4"/>
  <c r="GR12" i="4"/>
  <c r="GS12" i="4"/>
  <c r="GT12" i="4"/>
  <c r="GU12" i="4"/>
  <c r="GV12" i="4"/>
  <c r="GW12" i="4"/>
  <c r="GX12" i="4"/>
  <c r="GY12" i="4"/>
  <c r="GZ12" i="4"/>
  <c r="HA12" i="4"/>
  <c r="HB12" i="4"/>
  <c r="HC12" i="4"/>
  <c r="HD12" i="4"/>
  <c r="HE12" i="4"/>
  <c r="HF12" i="4"/>
  <c r="HJ12" i="4"/>
  <c r="HK12" i="4"/>
  <c r="HL12" i="4"/>
  <c r="HM12" i="4"/>
  <c r="HN12" i="4"/>
  <c r="HO12" i="4"/>
  <c r="HP12" i="4"/>
  <c r="A11" i="4"/>
  <c r="B11"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H11" i="4"/>
  <c r="AI11" i="4"/>
  <c r="AJ11" i="4"/>
  <c r="AK11" i="4"/>
  <c r="AL11" i="4"/>
  <c r="AM11" i="4"/>
  <c r="AN11" i="4"/>
  <c r="AO11" i="4"/>
  <c r="AP11" i="4"/>
  <c r="AQ11" i="4"/>
  <c r="AR11" i="4"/>
  <c r="AS11" i="4"/>
  <c r="AT11" i="4"/>
  <c r="AU11" i="4"/>
  <c r="AV11" i="4"/>
  <c r="AW11" i="4"/>
  <c r="AX11" i="4"/>
  <c r="AY11" i="4"/>
  <c r="AZ11" i="4"/>
  <c r="BA11" i="4"/>
  <c r="BB11" i="4"/>
  <c r="BC11" i="4"/>
  <c r="BD11" i="4"/>
  <c r="BE11" i="4"/>
  <c r="BF11" i="4"/>
  <c r="BG11" i="4"/>
  <c r="BH11" i="4"/>
  <c r="BI11" i="4"/>
  <c r="BJ11" i="4"/>
  <c r="BK11" i="4"/>
  <c r="BL11" i="4"/>
  <c r="BM11" i="4"/>
  <c r="BN11" i="4"/>
  <c r="BO11" i="4"/>
  <c r="BP11" i="4"/>
  <c r="BQ11" i="4"/>
  <c r="BR11" i="4"/>
  <c r="BS11" i="4"/>
  <c r="BT11" i="4"/>
  <c r="BU11" i="4"/>
  <c r="BV11" i="4"/>
  <c r="BW11" i="4"/>
  <c r="BX11" i="4"/>
  <c r="BY11" i="4"/>
  <c r="BZ11" i="4"/>
  <c r="CA11" i="4"/>
  <c r="CB11" i="4"/>
  <c r="CC11" i="4"/>
  <c r="CD11" i="4"/>
  <c r="CE11" i="4"/>
  <c r="CF11" i="4"/>
  <c r="CG11" i="4"/>
  <c r="CH11" i="4"/>
  <c r="CI11" i="4"/>
  <c r="CJ11" i="4"/>
  <c r="CK11" i="4"/>
  <c r="CL11" i="4"/>
  <c r="CM11" i="4"/>
  <c r="CN11" i="4"/>
  <c r="CO11" i="4"/>
  <c r="CP11" i="4"/>
  <c r="CQ11" i="4"/>
  <c r="CR11" i="4"/>
  <c r="CS11" i="4"/>
  <c r="CT11" i="4"/>
  <c r="CU11" i="4"/>
  <c r="CV11" i="4"/>
  <c r="CW11" i="4"/>
  <c r="CX11" i="4"/>
  <c r="CY11" i="4"/>
  <c r="CZ11" i="4"/>
  <c r="DA11" i="4"/>
  <c r="DB11" i="4"/>
  <c r="DC11" i="4"/>
  <c r="DD11" i="4"/>
  <c r="DE11" i="4"/>
  <c r="DF11" i="4"/>
  <c r="DG11" i="4"/>
  <c r="DH11" i="4"/>
  <c r="DI11" i="4"/>
  <c r="DJ11" i="4"/>
  <c r="DK11" i="4"/>
  <c r="DL11" i="4"/>
  <c r="DM11" i="4"/>
  <c r="DN11" i="4"/>
  <c r="DO11" i="4"/>
  <c r="DP11" i="4"/>
  <c r="DQ11" i="4"/>
  <c r="DR11" i="4"/>
  <c r="DS11" i="4"/>
  <c r="DT11" i="4"/>
  <c r="DU11" i="4"/>
  <c r="DV11" i="4"/>
  <c r="DW11" i="4"/>
  <c r="DX11" i="4"/>
  <c r="DY11" i="4"/>
  <c r="DZ11" i="4"/>
  <c r="EA11" i="4"/>
  <c r="EB11" i="4"/>
  <c r="EC11" i="4"/>
  <c r="ED11" i="4"/>
  <c r="EE11" i="4"/>
  <c r="EF11" i="4"/>
  <c r="EG11" i="4"/>
  <c r="EH11" i="4"/>
  <c r="EI11" i="4"/>
  <c r="EJ11" i="4"/>
  <c r="EK11" i="4"/>
  <c r="EL11" i="4"/>
  <c r="EM11" i="4"/>
  <c r="EN11" i="4"/>
  <c r="EO11" i="4"/>
  <c r="EP11" i="4"/>
  <c r="EQ11" i="4"/>
  <c r="ER11" i="4"/>
  <c r="ES11" i="4"/>
  <c r="ET11" i="4"/>
  <c r="EU11" i="4"/>
  <c r="EV11" i="4"/>
  <c r="EW11" i="4"/>
  <c r="EX11" i="4"/>
  <c r="EY11" i="4"/>
  <c r="EZ11" i="4"/>
  <c r="FA11" i="4"/>
  <c r="FB11" i="4"/>
  <c r="FC11" i="4"/>
  <c r="FD11" i="4"/>
  <c r="FE11" i="4"/>
  <c r="FF11" i="4"/>
  <c r="FG11" i="4"/>
  <c r="FH11" i="4"/>
  <c r="FI11" i="4"/>
  <c r="FJ11" i="4"/>
  <c r="FK11" i="4"/>
  <c r="FL11" i="4"/>
  <c r="FM11" i="4"/>
  <c r="FN11" i="4"/>
  <c r="FO11" i="4"/>
  <c r="FP11" i="4"/>
  <c r="FQ11" i="4"/>
  <c r="FR11" i="4"/>
  <c r="FS11" i="4"/>
  <c r="FT11" i="4"/>
  <c r="FU11" i="4"/>
  <c r="FV11" i="4"/>
  <c r="FW11" i="4"/>
  <c r="FX11" i="4"/>
  <c r="FY11" i="4"/>
  <c r="FZ11" i="4"/>
  <c r="GA11" i="4"/>
  <c r="GB11" i="4"/>
  <c r="GC11" i="4"/>
  <c r="GD11" i="4"/>
  <c r="GE11" i="4"/>
  <c r="GF11" i="4"/>
  <c r="GG11" i="4"/>
  <c r="GH11" i="4"/>
  <c r="GI11" i="4"/>
  <c r="GJ11" i="4"/>
  <c r="GK11" i="4"/>
  <c r="GL11" i="4"/>
  <c r="GM11" i="4"/>
  <c r="GN11" i="4"/>
  <c r="GO11" i="4"/>
  <c r="GP11" i="4"/>
  <c r="GQ11" i="4"/>
  <c r="GR11" i="4"/>
  <c r="GS11" i="4"/>
  <c r="GT11" i="4"/>
  <c r="GU11" i="4"/>
  <c r="GV11" i="4"/>
  <c r="GW11" i="4"/>
  <c r="GX11" i="4"/>
  <c r="GY11" i="4"/>
  <c r="GZ11" i="4"/>
  <c r="HA11" i="4"/>
  <c r="HB11" i="4"/>
  <c r="HC11" i="4"/>
  <c r="HD11" i="4"/>
  <c r="HE11" i="4"/>
  <c r="HF11" i="4"/>
  <c r="HG11" i="4"/>
  <c r="HH11" i="4"/>
  <c r="HI11" i="4"/>
  <c r="HJ11" i="4"/>
  <c r="HK11" i="4"/>
  <c r="HL11" i="4"/>
  <c r="HM11" i="4"/>
  <c r="HN11" i="4"/>
  <c r="HO11" i="4"/>
  <c r="HP11" i="4"/>
  <c r="HQ11" i="4"/>
  <c r="HR11" i="4"/>
  <c r="HS11" i="4"/>
  <c r="HT11" i="4"/>
  <c r="HU11" i="4"/>
  <c r="HV11" i="4"/>
  <c r="HW11" i="4"/>
  <c r="HX11" i="4"/>
  <c r="HY11" i="4"/>
  <c r="HZ11" i="4"/>
  <c r="IA11" i="4"/>
  <c r="IB11" i="4"/>
  <c r="IC11" i="4"/>
  <c r="ID11" i="4"/>
  <c r="IE11" i="4"/>
  <c r="IF11" i="4"/>
  <c r="IG11" i="4"/>
  <c r="IH11" i="4"/>
  <c r="II11" i="4"/>
  <c r="IJ11" i="4"/>
  <c r="IK11" i="4"/>
  <c r="IL11" i="4"/>
  <c r="IM11" i="4"/>
  <c r="IN11" i="4"/>
  <c r="IO11" i="4"/>
  <c r="IP11" i="4"/>
  <c r="IQ11" i="4"/>
  <c r="IR11" i="4"/>
  <c r="IS11" i="4"/>
  <c r="IT11" i="4"/>
  <c r="IU11" i="4"/>
  <c r="IV11" i="4"/>
  <c r="A10" i="4"/>
  <c r="B10" i="4"/>
  <c r="C10" i="4"/>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AJ10" i="4"/>
  <c r="AK10" i="4"/>
  <c r="AL10" i="4"/>
  <c r="AM10" i="4"/>
  <c r="AN10" i="4"/>
  <c r="AO10" i="4"/>
  <c r="AP10" i="4"/>
  <c r="AQ10" i="4"/>
  <c r="AR10" i="4"/>
  <c r="AS10" i="4"/>
  <c r="AT10" i="4"/>
  <c r="AU10" i="4"/>
  <c r="AV10" i="4"/>
  <c r="AW10" i="4"/>
  <c r="AX10" i="4"/>
  <c r="AY10" i="4"/>
  <c r="AZ10" i="4"/>
  <c r="BA10" i="4"/>
  <c r="BB10" i="4"/>
  <c r="BC10" i="4"/>
  <c r="BD10" i="4"/>
  <c r="BE10" i="4"/>
  <c r="BF10" i="4"/>
  <c r="BG10" i="4"/>
  <c r="BH10" i="4"/>
  <c r="BI10" i="4"/>
  <c r="BJ10" i="4"/>
  <c r="BK10" i="4"/>
  <c r="BL10" i="4"/>
  <c r="BM10" i="4"/>
  <c r="BN10" i="4"/>
  <c r="BO10" i="4"/>
  <c r="BP10" i="4"/>
  <c r="BQ10" i="4"/>
  <c r="BR10" i="4"/>
  <c r="BS10" i="4"/>
  <c r="BT10" i="4"/>
  <c r="BU10" i="4"/>
  <c r="BV10" i="4"/>
  <c r="BW10" i="4"/>
  <c r="BX10" i="4"/>
  <c r="BY10" i="4"/>
  <c r="BZ10" i="4"/>
  <c r="CA10" i="4"/>
  <c r="CB10" i="4"/>
  <c r="CC10" i="4"/>
  <c r="CD10" i="4"/>
  <c r="CE10" i="4"/>
  <c r="CF10" i="4"/>
  <c r="CG10" i="4"/>
  <c r="CH10" i="4"/>
  <c r="CI10" i="4"/>
  <c r="CJ10" i="4"/>
  <c r="CK10" i="4"/>
  <c r="CL10" i="4"/>
  <c r="CM10" i="4"/>
  <c r="CN10" i="4"/>
  <c r="CO10" i="4"/>
  <c r="CP10" i="4"/>
  <c r="CQ10" i="4"/>
  <c r="CR10" i="4"/>
  <c r="CS10" i="4"/>
  <c r="CT10" i="4"/>
  <c r="CU10" i="4"/>
  <c r="CV10" i="4"/>
  <c r="CW10" i="4"/>
  <c r="CX10" i="4"/>
  <c r="CY10" i="4"/>
  <c r="CZ10" i="4"/>
  <c r="DA10" i="4"/>
  <c r="DB10" i="4"/>
  <c r="DC10" i="4"/>
  <c r="DD10" i="4"/>
  <c r="DE10" i="4"/>
  <c r="DF10" i="4"/>
  <c r="DG10" i="4"/>
  <c r="DH10" i="4"/>
  <c r="DI10" i="4"/>
  <c r="DJ10" i="4"/>
  <c r="DK10" i="4"/>
  <c r="DL10" i="4"/>
  <c r="DM10" i="4"/>
  <c r="DN10" i="4"/>
  <c r="DO10" i="4"/>
  <c r="DP10" i="4"/>
  <c r="DQ10" i="4"/>
  <c r="DR10" i="4"/>
  <c r="DS10" i="4"/>
  <c r="DT10" i="4"/>
  <c r="DU10" i="4"/>
  <c r="DV10" i="4"/>
  <c r="DW10" i="4"/>
  <c r="DX10" i="4"/>
  <c r="DY10" i="4"/>
  <c r="DZ10" i="4"/>
  <c r="EA10" i="4"/>
  <c r="EB10" i="4"/>
  <c r="EC10" i="4"/>
  <c r="ED10" i="4"/>
  <c r="EE10" i="4"/>
  <c r="EF10" i="4"/>
  <c r="EG10" i="4"/>
  <c r="EH10" i="4"/>
  <c r="EI10" i="4"/>
  <c r="EJ10" i="4"/>
  <c r="EK10" i="4"/>
  <c r="EL10" i="4"/>
  <c r="EM10" i="4"/>
  <c r="EN10" i="4"/>
  <c r="EO10" i="4"/>
  <c r="EP10" i="4"/>
  <c r="EQ10" i="4"/>
  <c r="ER10" i="4"/>
  <c r="ES10" i="4"/>
  <c r="ET10" i="4"/>
  <c r="EU10" i="4"/>
  <c r="EV10" i="4"/>
  <c r="EW10" i="4"/>
  <c r="EX10" i="4"/>
  <c r="EY10" i="4"/>
  <c r="EZ10" i="4"/>
  <c r="FA10" i="4"/>
  <c r="FB10" i="4"/>
  <c r="FC10" i="4"/>
  <c r="FD10" i="4"/>
  <c r="FE10" i="4"/>
  <c r="FF10" i="4"/>
  <c r="FG10" i="4"/>
  <c r="FH10" i="4"/>
  <c r="FI10" i="4"/>
  <c r="FJ10" i="4"/>
  <c r="FK10" i="4"/>
  <c r="FL10" i="4"/>
  <c r="FM10" i="4"/>
  <c r="FN10" i="4"/>
  <c r="FO10" i="4"/>
  <c r="FP10" i="4"/>
  <c r="FQ10" i="4"/>
  <c r="FR10" i="4"/>
  <c r="FS10" i="4"/>
  <c r="FT10" i="4"/>
  <c r="FU10" i="4"/>
  <c r="FV10" i="4"/>
  <c r="FW10" i="4"/>
  <c r="FX10" i="4"/>
  <c r="FY10" i="4"/>
  <c r="FZ10" i="4"/>
  <c r="GA10" i="4"/>
  <c r="GB10" i="4"/>
  <c r="GC10" i="4"/>
  <c r="GD10" i="4"/>
  <c r="GE10" i="4"/>
  <c r="GF10" i="4"/>
  <c r="GG10" i="4"/>
  <c r="GH10" i="4"/>
  <c r="GI10" i="4"/>
  <c r="GJ10" i="4"/>
  <c r="GK10" i="4"/>
  <c r="GL10" i="4"/>
  <c r="GM10" i="4"/>
  <c r="GN10" i="4"/>
  <c r="GO10" i="4"/>
  <c r="GP10" i="4"/>
  <c r="GQ10" i="4"/>
  <c r="GR10" i="4"/>
  <c r="GS10" i="4"/>
  <c r="GT10" i="4"/>
  <c r="GU10" i="4"/>
  <c r="GV10" i="4"/>
  <c r="GW10" i="4"/>
  <c r="GX10" i="4"/>
  <c r="GY10" i="4"/>
  <c r="GZ10" i="4"/>
  <c r="HA10" i="4"/>
  <c r="HB10" i="4"/>
  <c r="HC10" i="4"/>
  <c r="HD10" i="4"/>
  <c r="HE10" i="4"/>
  <c r="HF10" i="4"/>
  <c r="HG10" i="4"/>
  <c r="HH10" i="4"/>
  <c r="HI10" i="4"/>
  <c r="HJ10" i="4"/>
  <c r="HK10" i="4"/>
  <c r="HL10" i="4"/>
  <c r="HM10" i="4"/>
  <c r="HN10" i="4"/>
  <c r="HO10" i="4"/>
  <c r="HP10" i="4"/>
  <c r="HQ10" i="4"/>
  <c r="HR10" i="4"/>
  <c r="HS10" i="4"/>
  <c r="HT10" i="4"/>
  <c r="HU10" i="4"/>
  <c r="HV10" i="4"/>
  <c r="HW10" i="4"/>
  <c r="HX10" i="4"/>
  <c r="HY10" i="4"/>
  <c r="HZ10" i="4"/>
  <c r="IA10" i="4"/>
  <c r="IB10" i="4"/>
  <c r="IC10" i="4"/>
  <c r="ID10" i="4"/>
  <c r="IE10" i="4"/>
  <c r="IF10" i="4"/>
  <c r="IG10" i="4"/>
  <c r="IH10" i="4"/>
  <c r="II10" i="4"/>
  <c r="IJ10" i="4"/>
  <c r="IK10" i="4"/>
  <c r="IL10" i="4"/>
  <c r="IM10" i="4"/>
  <c r="IN10" i="4"/>
  <c r="IO10" i="4"/>
  <c r="IP10" i="4"/>
  <c r="IQ10" i="4"/>
  <c r="IR10" i="4"/>
  <c r="IS10" i="4"/>
  <c r="IT10" i="4"/>
  <c r="IU10" i="4"/>
  <c r="IV10" i="4"/>
  <c r="A9" i="4"/>
  <c r="B9" i="4"/>
  <c r="C9" i="4"/>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 r="AM9" i="4"/>
  <c r="AN9" i="4"/>
  <c r="AO9" i="4"/>
  <c r="AP9" i="4"/>
  <c r="AQ9" i="4"/>
  <c r="AR9" i="4"/>
  <c r="AS9" i="4"/>
  <c r="AT9" i="4"/>
  <c r="AU9" i="4"/>
  <c r="AV9" i="4"/>
  <c r="AW9" i="4"/>
  <c r="AX9" i="4"/>
  <c r="AY9" i="4"/>
  <c r="AZ9" i="4"/>
  <c r="BA9" i="4"/>
  <c r="BB9" i="4"/>
  <c r="BC9" i="4"/>
  <c r="BD9" i="4"/>
  <c r="BE9" i="4"/>
  <c r="BF9" i="4"/>
  <c r="BG9" i="4"/>
  <c r="BH9" i="4"/>
  <c r="BI9" i="4"/>
  <c r="BJ9" i="4"/>
  <c r="BK9" i="4"/>
  <c r="BL9" i="4"/>
  <c r="BM9" i="4"/>
  <c r="BN9" i="4"/>
  <c r="BO9" i="4"/>
  <c r="BP9" i="4"/>
  <c r="BQ9" i="4"/>
  <c r="BR9" i="4"/>
  <c r="BS9" i="4"/>
  <c r="BT9" i="4"/>
  <c r="BU9" i="4"/>
  <c r="BV9" i="4"/>
  <c r="BW9" i="4"/>
  <c r="BX9" i="4"/>
  <c r="BY9" i="4"/>
  <c r="BZ9" i="4"/>
  <c r="CA9" i="4"/>
  <c r="CB9" i="4"/>
  <c r="CC9" i="4"/>
  <c r="CD9" i="4"/>
  <c r="CE9" i="4"/>
  <c r="CF9" i="4"/>
  <c r="CG9" i="4"/>
  <c r="CH9" i="4"/>
  <c r="CI9" i="4"/>
  <c r="CJ9" i="4"/>
  <c r="CK9" i="4"/>
  <c r="CL9" i="4"/>
  <c r="CM9" i="4"/>
  <c r="CN9" i="4"/>
  <c r="CO9" i="4"/>
  <c r="CP9" i="4"/>
  <c r="CQ9" i="4"/>
  <c r="CR9" i="4"/>
  <c r="CS9" i="4"/>
  <c r="CT9" i="4"/>
  <c r="CU9" i="4"/>
  <c r="CV9" i="4"/>
  <c r="CW9" i="4"/>
  <c r="CX9" i="4"/>
  <c r="CY9" i="4"/>
  <c r="CZ9" i="4"/>
  <c r="DA9" i="4"/>
  <c r="DB9" i="4"/>
  <c r="DC9" i="4"/>
  <c r="DD9" i="4"/>
  <c r="DE9" i="4"/>
  <c r="DF9" i="4"/>
  <c r="DG9" i="4"/>
  <c r="DH9" i="4"/>
  <c r="DI9" i="4"/>
  <c r="DJ9" i="4"/>
  <c r="DK9" i="4"/>
  <c r="DL9" i="4"/>
  <c r="DM9" i="4"/>
  <c r="DN9" i="4"/>
  <c r="DO9" i="4"/>
  <c r="DP9" i="4"/>
  <c r="DQ9" i="4"/>
  <c r="DR9" i="4"/>
  <c r="DS9" i="4"/>
  <c r="DT9" i="4"/>
  <c r="DU9" i="4"/>
  <c r="DV9" i="4"/>
  <c r="DW9" i="4"/>
  <c r="DX9" i="4"/>
  <c r="DY9" i="4"/>
  <c r="DZ9" i="4"/>
  <c r="EA9" i="4"/>
  <c r="EB9" i="4"/>
  <c r="EC9" i="4"/>
  <c r="ED9" i="4"/>
  <c r="EE9" i="4"/>
  <c r="EF9" i="4"/>
  <c r="EG9" i="4"/>
  <c r="EH9" i="4"/>
  <c r="EI9" i="4"/>
  <c r="EJ9" i="4"/>
  <c r="EK9" i="4"/>
  <c r="EL9" i="4"/>
  <c r="EM9" i="4"/>
  <c r="EN9" i="4"/>
  <c r="EO9" i="4"/>
  <c r="EP9" i="4"/>
  <c r="EQ9" i="4"/>
  <c r="ER9" i="4"/>
  <c r="ES9" i="4"/>
  <c r="ET9" i="4"/>
  <c r="EU9" i="4"/>
  <c r="EV9" i="4"/>
  <c r="EW9" i="4"/>
  <c r="EX9" i="4"/>
  <c r="EY9" i="4"/>
  <c r="EZ9" i="4"/>
  <c r="FA9" i="4"/>
  <c r="FB9" i="4"/>
  <c r="FC9" i="4"/>
  <c r="FD9" i="4"/>
  <c r="FE9" i="4"/>
  <c r="FF9" i="4"/>
  <c r="FG9" i="4"/>
  <c r="FH9" i="4"/>
  <c r="FI9" i="4"/>
  <c r="FJ9" i="4"/>
  <c r="FK9" i="4"/>
  <c r="FL9" i="4"/>
  <c r="FM9" i="4"/>
  <c r="FN9" i="4"/>
  <c r="FO9" i="4"/>
  <c r="FP9" i="4"/>
  <c r="FQ9" i="4"/>
  <c r="FR9" i="4"/>
  <c r="FS9" i="4"/>
  <c r="FT9" i="4"/>
  <c r="FU9" i="4"/>
  <c r="FV9" i="4"/>
  <c r="FW9" i="4"/>
  <c r="FX9" i="4"/>
  <c r="FY9" i="4"/>
  <c r="FZ9" i="4"/>
  <c r="GA9" i="4"/>
  <c r="GB9" i="4"/>
  <c r="GC9" i="4"/>
  <c r="GD9" i="4"/>
  <c r="GE9" i="4"/>
  <c r="GF9" i="4"/>
  <c r="GG9" i="4"/>
  <c r="GH9" i="4"/>
  <c r="GI9" i="4"/>
  <c r="GJ9" i="4"/>
  <c r="GK9" i="4"/>
  <c r="GL9" i="4"/>
  <c r="GM9" i="4"/>
  <c r="GN9" i="4"/>
  <c r="GO9" i="4"/>
  <c r="GP9" i="4"/>
  <c r="GQ9" i="4"/>
  <c r="GR9" i="4"/>
  <c r="GS9" i="4"/>
  <c r="GT9" i="4"/>
  <c r="GU9" i="4"/>
  <c r="GV9" i="4"/>
  <c r="GW9" i="4"/>
  <c r="GX9" i="4"/>
  <c r="GY9" i="4"/>
  <c r="GZ9" i="4"/>
  <c r="HA9" i="4"/>
  <c r="HB9" i="4"/>
  <c r="HC9" i="4"/>
  <c r="HD9" i="4"/>
  <c r="HE9" i="4"/>
  <c r="HF9" i="4"/>
  <c r="HG9" i="4"/>
  <c r="HH9" i="4"/>
  <c r="HI9" i="4"/>
  <c r="HJ9" i="4"/>
  <c r="HK9" i="4"/>
  <c r="HL9" i="4"/>
  <c r="HM9" i="4"/>
  <c r="HN9" i="4"/>
  <c r="HO9" i="4"/>
  <c r="HP9" i="4"/>
  <c r="HQ9" i="4"/>
  <c r="HR9" i="4"/>
  <c r="HS9" i="4"/>
  <c r="HT9" i="4"/>
  <c r="HU9" i="4"/>
  <c r="HV9" i="4"/>
  <c r="HW9" i="4"/>
  <c r="HX9" i="4"/>
  <c r="HY9" i="4"/>
  <c r="HZ9" i="4"/>
  <c r="IA9" i="4"/>
  <c r="IB9" i="4"/>
  <c r="IC9" i="4"/>
  <c r="ID9" i="4"/>
  <c r="IE9" i="4"/>
  <c r="IF9" i="4"/>
  <c r="IG9" i="4"/>
  <c r="IH9" i="4"/>
  <c r="II9" i="4"/>
  <c r="IJ9" i="4"/>
  <c r="IK9" i="4"/>
  <c r="IL9" i="4"/>
  <c r="IM9" i="4"/>
  <c r="IN9" i="4"/>
  <c r="IO9" i="4"/>
  <c r="IP9" i="4"/>
  <c r="IQ9" i="4"/>
  <c r="IR9" i="4"/>
  <c r="IS9" i="4"/>
  <c r="IT9" i="4"/>
  <c r="IU9" i="4"/>
  <c r="IV9" i="4"/>
  <c r="A8" i="4"/>
  <c r="B8" i="4"/>
  <c r="C8" i="4"/>
  <c r="D8" i="4"/>
  <c r="E8" i="4"/>
  <c r="F8" i="4"/>
  <c r="G8" i="4"/>
  <c r="H8" i="4"/>
  <c r="I8" i="4"/>
  <c r="J8" i="4"/>
  <c r="K8" i="4"/>
  <c r="L8" i="4"/>
  <c r="M8" i="4"/>
  <c r="N8" i="4"/>
  <c r="O8" i="4"/>
  <c r="P8" i="4"/>
  <c r="Q8" i="4"/>
  <c r="R8" i="4"/>
  <c r="S8" i="4"/>
  <c r="T8" i="4"/>
  <c r="U8" i="4"/>
  <c r="V8" i="4"/>
  <c r="W8" i="4"/>
  <c r="X8" i="4"/>
  <c r="Y8" i="4"/>
  <c r="Z8" i="4"/>
  <c r="AA8" i="4"/>
  <c r="AB8" i="4"/>
  <c r="AC8" i="4"/>
  <c r="AD8" i="4"/>
  <c r="AE8" i="4"/>
  <c r="AF8" i="4"/>
  <c r="AG8" i="4"/>
  <c r="AH8" i="4"/>
  <c r="AI8" i="4"/>
  <c r="AJ8" i="4"/>
  <c r="AK8" i="4"/>
  <c r="AL8" i="4"/>
  <c r="AM8" i="4"/>
  <c r="AN8" i="4"/>
  <c r="AO8" i="4"/>
  <c r="AP8" i="4"/>
  <c r="AQ8" i="4"/>
  <c r="AR8" i="4"/>
  <c r="AS8" i="4"/>
  <c r="AT8" i="4"/>
  <c r="AU8" i="4"/>
  <c r="AV8" i="4"/>
  <c r="AW8" i="4"/>
  <c r="AX8" i="4"/>
  <c r="AY8" i="4"/>
  <c r="AZ8" i="4"/>
  <c r="BA8" i="4"/>
  <c r="BB8" i="4"/>
  <c r="BC8" i="4"/>
  <c r="BD8" i="4"/>
  <c r="BE8" i="4"/>
  <c r="BF8" i="4"/>
  <c r="BG8" i="4"/>
  <c r="BH8" i="4"/>
  <c r="BI8" i="4"/>
  <c r="BJ8" i="4"/>
  <c r="BK8" i="4"/>
  <c r="BL8" i="4"/>
  <c r="BM8" i="4"/>
  <c r="BN8" i="4"/>
  <c r="BO8" i="4"/>
  <c r="BP8" i="4"/>
  <c r="BQ8" i="4"/>
  <c r="BR8" i="4"/>
  <c r="BS8" i="4"/>
  <c r="BT8" i="4"/>
  <c r="BU8" i="4"/>
  <c r="BV8" i="4"/>
  <c r="BW8" i="4"/>
  <c r="BX8" i="4"/>
  <c r="BY8" i="4"/>
  <c r="BZ8" i="4"/>
  <c r="CA8" i="4"/>
  <c r="CB8" i="4"/>
  <c r="CC8" i="4"/>
  <c r="CD8" i="4"/>
  <c r="CE8" i="4"/>
  <c r="CF8" i="4"/>
  <c r="CG8" i="4"/>
  <c r="CH8" i="4"/>
  <c r="CI8" i="4"/>
  <c r="CJ8" i="4"/>
  <c r="CK8" i="4"/>
  <c r="CL8" i="4"/>
  <c r="CM8" i="4"/>
  <c r="CN8" i="4"/>
  <c r="CO8" i="4"/>
  <c r="CP8" i="4"/>
  <c r="CQ8" i="4"/>
  <c r="CR8" i="4"/>
  <c r="CS8" i="4"/>
  <c r="CT8" i="4"/>
  <c r="CU8" i="4"/>
  <c r="CV8" i="4"/>
  <c r="CW8" i="4"/>
  <c r="CX8" i="4"/>
  <c r="CY8" i="4"/>
  <c r="CZ8" i="4"/>
  <c r="DA8" i="4"/>
  <c r="DB8" i="4"/>
  <c r="DC8" i="4"/>
  <c r="DD8" i="4"/>
  <c r="DE8" i="4"/>
  <c r="DF8" i="4"/>
  <c r="DG8" i="4"/>
  <c r="DH8" i="4"/>
  <c r="DI8" i="4"/>
  <c r="DJ8" i="4"/>
  <c r="DK8" i="4"/>
  <c r="DL8" i="4"/>
  <c r="DM8" i="4"/>
  <c r="DN8" i="4"/>
  <c r="DO8" i="4"/>
  <c r="DP8" i="4"/>
  <c r="DQ8" i="4"/>
  <c r="DR8" i="4"/>
  <c r="DS8" i="4"/>
  <c r="DT8" i="4"/>
  <c r="DU8" i="4"/>
  <c r="DV8" i="4"/>
  <c r="DW8" i="4"/>
  <c r="DX8" i="4"/>
  <c r="DY8" i="4"/>
  <c r="DZ8" i="4"/>
  <c r="EA8" i="4"/>
  <c r="EB8" i="4"/>
  <c r="EC8" i="4"/>
  <c r="ED8" i="4"/>
  <c r="EE8" i="4"/>
  <c r="EF8" i="4"/>
  <c r="EG8" i="4"/>
  <c r="EH8" i="4"/>
  <c r="EI8" i="4"/>
  <c r="EJ8" i="4"/>
  <c r="EK8" i="4"/>
  <c r="EL8" i="4"/>
  <c r="EM8" i="4"/>
  <c r="EN8" i="4"/>
  <c r="EO8" i="4"/>
  <c r="EP8" i="4"/>
  <c r="EQ8" i="4"/>
  <c r="ER8" i="4"/>
  <c r="ES8" i="4"/>
  <c r="ET8" i="4"/>
  <c r="EU8" i="4"/>
  <c r="EV8" i="4"/>
  <c r="EW8" i="4"/>
  <c r="EX8" i="4"/>
  <c r="EY8" i="4"/>
  <c r="EZ8" i="4"/>
  <c r="FA8" i="4"/>
  <c r="FB8" i="4"/>
  <c r="FC8" i="4"/>
  <c r="FD8" i="4"/>
  <c r="FE8" i="4"/>
  <c r="FF8" i="4"/>
  <c r="FG8" i="4"/>
  <c r="FH8" i="4"/>
  <c r="FI8" i="4"/>
  <c r="FJ8" i="4"/>
  <c r="FK8" i="4"/>
  <c r="FL8" i="4"/>
  <c r="FM8" i="4"/>
  <c r="FN8" i="4"/>
  <c r="FO8" i="4"/>
  <c r="FP8" i="4"/>
  <c r="FQ8" i="4"/>
  <c r="FR8" i="4"/>
  <c r="FS8" i="4"/>
  <c r="FT8" i="4"/>
  <c r="FU8" i="4"/>
  <c r="FV8" i="4"/>
  <c r="FW8" i="4"/>
  <c r="FX8" i="4"/>
  <c r="FY8" i="4"/>
  <c r="FZ8" i="4"/>
  <c r="GA8" i="4"/>
  <c r="GB8" i="4"/>
  <c r="GC8" i="4"/>
  <c r="GD8" i="4"/>
  <c r="GE8" i="4"/>
  <c r="GF8" i="4"/>
  <c r="GG8" i="4"/>
  <c r="GH8" i="4"/>
  <c r="GI8" i="4"/>
  <c r="GJ8" i="4"/>
  <c r="GK8" i="4"/>
  <c r="GL8" i="4"/>
  <c r="GM8" i="4"/>
  <c r="GN8" i="4"/>
  <c r="GO8" i="4"/>
  <c r="GP8" i="4"/>
  <c r="GQ8" i="4"/>
  <c r="GR8" i="4"/>
  <c r="GS8" i="4"/>
  <c r="GT8" i="4"/>
  <c r="GU8" i="4"/>
  <c r="GV8" i="4"/>
  <c r="GW8" i="4"/>
  <c r="GX8" i="4"/>
  <c r="GY8" i="4"/>
  <c r="GZ8" i="4"/>
  <c r="HA8" i="4"/>
  <c r="HB8" i="4"/>
  <c r="HC8" i="4"/>
  <c r="HD8" i="4"/>
  <c r="HE8" i="4"/>
  <c r="HF8" i="4"/>
  <c r="HG8" i="4"/>
  <c r="HH8" i="4"/>
  <c r="HI8" i="4"/>
  <c r="HJ8" i="4"/>
  <c r="HK8" i="4"/>
  <c r="HL8" i="4"/>
  <c r="HM8" i="4"/>
  <c r="HN8" i="4"/>
  <c r="HO8" i="4"/>
  <c r="HP8" i="4"/>
  <c r="HQ8" i="4"/>
  <c r="HR8" i="4"/>
  <c r="HS8" i="4"/>
  <c r="HT8" i="4"/>
  <c r="HU8" i="4"/>
  <c r="HV8" i="4"/>
  <c r="HW8" i="4"/>
  <c r="HX8" i="4"/>
  <c r="HY8" i="4"/>
  <c r="HZ8" i="4"/>
  <c r="IA8" i="4"/>
  <c r="IB8" i="4"/>
  <c r="IC8" i="4"/>
  <c r="ID8" i="4"/>
  <c r="IE8" i="4"/>
  <c r="IF8" i="4"/>
  <c r="IG8" i="4"/>
  <c r="IH8" i="4"/>
  <c r="II8" i="4"/>
  <c r="IJ8" i="4"/>
  <c r="IK8" i="4"/>
  <c r="IL8" i="4"/>
  <c r="IM8" i="4"/>
  <c r="IN8" i="4"/>
  <c r="IO8" i="4"/>
  <c r="IP8" i="4"/>
  <c r="IQ8" i="4"/>
  <c r="IR8" i="4"/>
  <c r="IS8" i="4"/>
  <c r="IT8" i="4"/>
  <c r="IU8" i="4"/>
  <c r="IV8" i="4"/>
  <c r="A7" i="4"/>
  <c r="B7" i="4"/>
  <c r="C7" i="4"/>
  <c r="D7" i="4"/>
  <c r="E7" i="4"/>
  <c r="F7" i="4"/>
  <c r="G7" i="4"/>
  <c r="H7" i="4"/>
  <c r="I7" i="4"/>
  <c r="J7" i="4"/>
  <c r="K7" i="4"/>
  <c r="L7" i="4"/>
  <c r="M7" i="4"/>
  <c r="N7" i="4"/>
  <c r="O7" i="4"/>
  <c r="P7" i="4"/>
  <c r="Q7" i="4"/>
  <c r="R7" i="4"/>
  <c r="S7" i="4"/>
  <c r="T7" i="4"/>
  <c r="U7" i="4"/>
  <c r="V7" i="4"/>
  <c r="W7" i="4"/>
  <c r="X7" i="4"/>
  <c r="Y7" i="4"/>
  <c r="Z7" i="4"/>
  <c r="AA7" i="4"/>
  <c r="AB7" i="4"/>
  <c r="AC7" i="4"/>
  <c r="AD7" i="4"/>
  <c r="AE7" i="4"/>
  <c r="AF7" i="4"/>
  <c r="AG7" i="4"/>
  <c r="AH7" i="4"/>
  <c r="AI7" i="4"/>
  <c r="AJ7" i="4"/>
  <c r="AK7" i="4"/>
  <c r="AL7" i="4"/>
  <c r="AM7" i="4"/>
  <c r="AN7" i="4"/>
  <c r="AO7" i="4"/>
  <c r="AP7" i="4"/>
  <c r="AQ7" i="4"/>
  <c r="AR7" i="4"/>
  <c r="AS7" i="4"/>
  <c r="AT7" i="4"/>
  <c r="AU7" i="4"/>
  <c r="AV7" i="4"/>
  <c r="AW7" i="4"/>
  <c r="AX7" i="4"/>
  <c r="AY7" i="4"/>
  <c r="AZ7" i="4"/>
  <c r="BA7" i="4"/>
  <c r="BB7" i="4"/>
  <c r="BC7" i="4"/>
  <c r="BD7" i="4"/>
  <c r="BE7" i="4"/>
  <c r="BF7" i="4"/>
  <c r="BG7" i="4"/>
  <c r="BH7" i="4"/>
  <c r="BI7" i="4"/>
  <c r="BJ7" i="4"/>
  <c r="BK7" i="4"/>
  <c r="BL7" i="4"/>
  <c r="BM7" i="4"/>
  <c r="BN7" i="4"/>
  <c r="BO7" i="4"/>
  <c r="BP7" i="4"/>
  <c r="BQ7" i="4"/>
  <c r="BR7" i="4"/>
  <c r="BS7" i="4"/>
  <c r="BT7" i="4"/>
  <c r="BU7" i="4"/>
  <c r="BV7" i="4"/>
  <c r="BW7" i="4"/>
  <c r="BX7" i="4"/>
  <c r="BY7" i="4"/>
  <c r="BZ7" i="4"/>
  <c r="CA7" i="4"/>
  <c r="CB7" i="4"/>
  <c r="CC7" i="4"/>
  <c r="CD7" i="4"/>
  <c r="CE7" i="4"/>
  <c r="CF7" i="4"/>
  <c r="CG7" i="4"/>
  <c r="CH7" i="4"/>
  <c r="CI7" i="4"/>
  <c r="CJ7" i="4"/>
  <c r="CK7" i="4"/>
  <c r="CL7" i="4"/>
  <c r="CM7" i="4"/>
  <c r="CN7" i="4"/>
  <c r="CO7" i="4"/>
  <c r="CP7" i="4"/>
  <c r="CQ7" i="4"/>
  <c r="CR7" i="4"/>
  <c r="CS7" i="4"/>
  <c r="CT7" i="4"/>
  <c r="CU7" i="4"/>
  <c r="CV7" i="4"/>
  <c r="CW7" i="4"/>
  <c r="CX7" i="4"/>
  <c r="CY7" i="4"/>
  <c r="CZ7" i="4"/>
  <c r="DA7" i="4"/>
  <c r="DB7" i="4"/>
  <c r="DC7" i="4"/>
  <c r="DD7" i="4"/>
  <c r="DE7" i="4"/>
  <c r="DF7" i="4"/>
  <c r="DG7" i="4"/>
  <c r="DH7" i="4"/>
  <c r="DI7" i="4"/>
  <c r="DJ7" i="4"/>
  <c r="DK7" i="4"/>
  <c r="DL7" i="4"/>
  <c r="DM7" i="4"/>
  <c r="DN7" i="4"/>
  <c r="DO7" i="4"/>
  <c r="DP7" i="4"/>
  <c r="DQ7" i="4"/>
  <c r="DR7" i="4"/>
  <c r="DS7" i="4"/>
  <c r="DT7" i="4"/>
  <c r="DU7" i="4"/>
  <c r="DV7" i="4"/>
  <c r="DW7" i="4"/>
  <c r="DX7" i="4"/>
  <c r="DY7" i="4"/>
  <c r="DZ7" i="4"/>
  <c r="EA7" i="4"/>
  <c r="EB7" i="4"/>
  <c r="EC7" i="4"/>
  <c r="ED7" i="4"/>
  <c r="EE7" i="4"/>
  <c r="EF7" i="4"/>
  <c r="EG7" i="4"/>
  <c r="EH7" i="4"/>
  <c r="EI7" i="4"/>
  <c r="EJ7" i="4"/>
  <c r="EK7" i="4"/>
  <c r="EL7" i="4"/>
  <c r="EM7" i="4"/>
  <c r="EN7" i="4"/>
  <c r="EO7" i="4"/>
  <c r="EP7" i="4"/>
  <c r="EQ7" i="4"/>
  <c r="ER7" i="4"/>
  <c r="ES7" i="4"/>
  <c r="ET7" i="4"/>
  <c r="EU7" i="4"/>
  <c r="EV7" i="4"/>
  <c r="EW7" i="4"/>
  <c r="EX7" i="4"/>
  <c r="EY7" i="4"/>
  <c r="EZ7" i="4"/>
  <c r="FA7" i="4"/>
  <c r="FB7" i="4"/>
  <c r="FC7" i="4"/>
  <c r="FD7" i="4"/>
  <c r="FE7" i="4"/>
  <c r="FF7" i="4"/>
  <c r="FG7" i="4"/>
  <c r="FH7" i="4"/>
  <c r="FI7" i="4"/>
  <c r="FJ7" i="4"/>
  <c r="FK7" i="4"/>
  <c r="FL7" i="4"/>
  <c r="FM7" i="4"/>
  <c r="FN7" i="4"/>
  <c r="FO7" i="4"/>
  <c r="FP7" i="4"/>
  <c r="FQ7" i="4"/>
  <c r="FR7" i="4"/>
  <c r="FS7" i="4"/>
  <c r="FT7" i="4"/>
  <c r="FU7" i="4"/>
  <c r="FV7" i="4"/>
  <c r="FW7" i="4"/>
  <c r="FX7" i="4"/>
  <c r="FY7" i="4"/>
  <c r="FZ7" i="4"/>
  <c r="GA7" i="4"/>
  <c r="GB7" i="4"/>
  <c r="GC7" i="4"/>
  <c r="GD7" i="4"/>
  <c r="GE7" i="4"/>
  <c r="GF7" i="4"/>
  <c r="GG7" i="4"/>
  <c r="GH7" i="4"/>
  <c r="GI7" i="4"/>
  <c r="GJ7" i="4"/>
  <c r="GK7" i="4"/>
  <c r="GL7" i="4"/>
  <c r="GM7" i="4"/>
  <c r="GN7" i="4"/>
  <c r="GO7" i="4"/>
  <c r="GP7" i="4"/>
  <c r="GQ7" i="4"/>
  <c r="GR7" i="4"/>
  <c r="GS7" i="4"/>
  <c r="GT7" i="4"/>
  <c r="GU7" i="4"/>
  <c r="GV7" i="4"/>
  <c r="GW7" i="4"/>
  <c r="GX7" i="4"/>
  <c r="GY7" i="4"/>
  <c r="GZ7" i="4"/>
  <c r="HA7" i="4"/>
  <c r="HB7" i="4"/>
  <c r="HC7" i="4"/>
  <c r="HD7" i="4"/>
  <c r="HE7" i="4"/>
  <c r="HF7" i="4"/>
  <c r="HG7" i="4"/>
  <c r="HH7" i="4"/>
  <c r="HI7" i="4"/>
  <c r="HJ7" i="4"/>
  <c r="HK7" i="4"/>
  <c r="HL7" i="4"/>
  <c r="HM7" i="4"/>
  <c r="HN7" i="4"/>
  <c r="HO7" i="4"/>
  <c r="HP7" i="4"/>
  <c r="HQ7" i="4"/>
  <c r="HR7" i="4"/>
  <c r="HS7" i="4"/>
  <c r="HT7" i="4"/>
  <c r="HU7" i="4"/>
  <c r="HV7" i="4"/>
  <c r="HW7" i="4"/>
  <c r="HX7" i="4"/>
  <c r="HY7" i="4"/>
  <c r="HZ7" i="4"/>
  <c r="IA7" i="4"/>
  <c r="IB7" i="4"/>
  <c r="IC7" i="4"/>
  <c r="ID7" i="4"/>
  <c r="IE7" i="4"/>
  <c r="IF7" i="4"/>
  <c r="IG7" i="4"/>
  <c r="IH7" i="4"/>
  <c r="II7" i="4"/>
  <c r="IJ7" i="4"/>
  <c r="IK7" i="4"/>
  <c r="IL7" i="4"/>
  <c r="IM7" i="4"/>
  <c r="IN7" i="4"/>
  <c r="IO7" i="4"/>
  <c r="IP7" i="4"/>
  <c r="IQ7" i="4"/>
  <c r="IR7" i="4"/>
  <c r="IS7" i="4"/>
  <c r="IT7" i="4"/>
  <c r="IU7" i="4"/>
  <c r="IV7" i="4"/>
  <c r="A6" i="4"/>
  <c r="B6" i="4"/>
  <c r="C6" i="4"/>
  <c r="D6" i="4"/>
  <c r="E6" i="4"/>
  <c r="F6" i="4"/>
  <c r="G6" i="4"/>
  <c r="H6" i="4"/>
  <c r="I6" i="4"/>
  <c r="J6" i="4"/>
  <c r="K6" i="4"/>
  <c r="L6" i="4"/>
  <c r="M6" i="4"/>
  <c r="N6" i="4"/>
  <c r="O6" i="4"/>
  <c r="P6" i="4"/>
  <c r="Q6" i="4"/>
  <c r="R6" i="4"/>
  <c r="S6" i="4"/>
  <c r="T6" i="4"/>
  <c r="U6" i="4"/>
  <c r="V6" i="4"/>
  <c r="W6" i="4"/>
  <c r="X6" i="4"/>
  <c r="Y6" i="4"/>
  <c r="Z6" i="4"/>
  <c r="AA6" i="4"/>
  <c r="AB6" i="4"/>
  <c r="AC6" i="4"/>
  <c r="AD6" i="4"/>
  <c r="AE6" i="4"/>
  <c r="AF6" i="4"/>
  <c r="AG6" i="4"/>
  <c r="AH6" i="4"/>
  <c r="AI6" i="4"/>
  <c r="AJ6" i="4"/>
  <c r="AK6" i="4"/>
  <c r="AL6" i="4"/>
  <c r="AM6" i="4"/>
  <c r="AN6" i="4"/>
  <c r="AO6" i="4"/>
  <c r="AP6" i="4"/>
  <c r="AQ6" i="4"/>
  <c r="AR6" i="4"/>
  <c r="AS6" i="4"/>
  <c r="AT6" i="4"/>
  <c r="AU6" i="4"/>
  <c r="AV6" i="4"/>
  <c r="AW6" i="4"/>
  <c r="AX6" i="4"/>
  <c r="AY6" i="4"/>
  <c r="AZ6" i="4"/>
  <c r="BA6" i="4"/>
  <c r="BB6" i="4"/>
  <c r="BC6" i="4"/>
  <c r="BD6" i="4"/>
  <c r="BE6" i="4"/>
  <c r="BF6" i="4"/>
  <c r="BG6" i="4"/>
  <c r="BH6" i="4"/>
  <c r="BI6" i="4"/>
  <c r="BJ6" i="4"/>
  <c r="BK6" i="4"/>
  <c r="BL6" i="4"/>
  <c r="BM6" i="4"/>
  <c r="BN6" i="4"/>
  <c r="BO6" i="4"/>
  <c r="BP6" i="4"/>
  <c r="BQ6" i="4"/>
  <c r="BR6" i="4"/>
  <c r="BS6" i="4"/>
  <c r="BT6" i="4"/>
  <c r="BU6" i="4"/>
  <c r="BV6" i="4"/>
  <c r="BW6" i="4"/>
  <c r="BX6" i="4"/>
  <c r="BY6" i="4"/>
  <c r="BZ6" i="4"/>
  <c r="CA6" i="4"/>
  <c r="CB6" i="4"/>
  <c r="CC6" i="4"/>
  <c r="CD6" i="4"/>
  <c r="CE6" i="4"/>
  <c r="CF6" i="4"/>
  <c r="CG6" i="4"/>
  <c r="CH6" i="4"/>
  <c r="CI6" i="4"/>
  <c r="CJ6" i="4"/>
  <c r="CK6" i="4"/>
  <c r="CL6" i="4"/>
  <c r="CM6" i="4"/>
  <c r="CN6" i="4"/>
  <c r="CO6" i="4"/>
  <c r="CP6" i="4"/>
  <c r="CQ6" i="4"/>
  <c r="CR6" i="4"/>
  <c r="CS6" i="4"/>
  <c r="CT6" i="4"/>
  <c r="CU6" i="4"/>
  <c r="CV6" i="4"/>
  <c r="CW6" i="4"/>
  <c r="CX6" i="4"/>
  <c r="CY6" i="4"/>
  <c r="CZ6" i="4"/>
  <c r="DA6" i="4"/>
  <c r="DB6" i="4"/>
  <c r="DC6" i="4"/>
  <c r="DD6" i="4"/>
  <c r="DE6" i="4"/>
  <c r="DF6" i="4"/>
  <c r="DG6" i="4"/>
  <c r="DH6" i="4"/>
  <c r="DI6" i="4"/>
  <c r="DJ6" i="4"/>
  <c r="DK6" i="4"/>
  <c r="DL6" i="4"/>
  <c r="DM6" i="4"/>
  <c r="DN6" i="4"/>
  <c r="DO6" i="4"/>
  <c r="DP6" i="4"/>
  <c r="DQ6" i="4"/>
  <c r="DR6" i="4"/>
  <c r="DS6" i="4"/>
  <c r="DT6" i="4"/>
  <c r="DU6" i="4"/>
  <c r="DV6" i="4"/>
  <c r="DW6" i="4"/>
  <c r="DX6" i="4"/>
  <c r="DY6" i="4"/>
  <c r="DZ6" i="4"/>
  <c r="EA6" i="4"/>
  <c r="EB6" i="4"/>
  <c r="EC6" i="4"/>
  <c r="ED6" i="4"/>
  <c r="EE6" i="4"/>
  <c r="EF6" i="4"/>
  <c r="EG6" i="4"/>
  <c r="EH6" i="4"/>
  <c r="EI6" i="4"/>
  <c r="EJ6" i="4"/>
  <c r="EK6" i="4"/>
  <c r="EL6" i="4"/>
  <c r="EM6" i="4"/>
  <c r="EN6" i="4"/>
  <c r="EO6" i="4"/>
  <c r="EP6" i="4"/>
  <c r="EQ6" i="4"/>
  <c r="ER6" i="4"/>
  <c r="ES6" i="4"/>
  <c r="ET6" i="4"/>
  <c r="EU6" i="4"/>
  <c r="EV6" i="4"/>
  <c r="EW6" i="4"/>
  <c r="EX6" i="4"/>
  <c r="EY6" i="4"/>
  <c r="EZ6" i="4"/>
  <c r="FA6" i="4"/>
  <c r="FB6" i="4"/>
  <c r="FC6" i="4"/>
  <c r="FD6" i="4"/>
  <c r="FE6" i="4"/>
  <c r="FF6" i="4"/>
  <c r="FG6" i="4"/>
  <c r="FH6" i="4"/>
  <c r="FI6" i="4"/>
  <c r="FJ6" i="4"/>
  <c r="FK6" i="4"/>
  <c r="FL6" i="4"/>
  <c r="FM6" i="4"/>
  <c r="FN6" i="4"/>
  <c r="FO6" i="4"/>
  <c r="FP6" i="4"/>
  <c r="FQ6" i="4"/>
  <c r="FR6" i="4"/>
  <c r="FS6" i="4"/>
  <c r="FT6" i="4"/>
  <c r="FU6" i="4"/>
  <c r="FV6" i="4"/>
  <c r="FW6" i="4"/>
  <c r="FX6" i="4"/>
  <c r="FY6" i="4"/>
  <c r="FZ6" i="4"/>
  <c r="GA6" i="4"/>
  <c r="GB6" i="4"/>
  <c r="GC6" i="4"/>
  <c r="GD6" i="4"/>
  <c r="GE6" i="4"/>
  <c r="GF6" i="4"/>
  <c r="GG6" i="4"/>
  <c r="GH6" i="4"/>
  <c r="GI6" i="4"/>
  <c r="GJ6" i="4"/>
  <c r="GK6" i="4"/>
  <c r="GL6" i="4"/>
  <c r="GM6" i="4"/>
  <c r="GN6" i="4"/>
  <c r="GO6" i="4"/>
  <c r="GP6" i="4"/>
  <c r="GQ6" i="4"/>
  <c r="GR6" i="4"/>
  <c r="GS6" i="4"/>
  <c r="GT6" i="4"/>
  <c r="GU6" i="4"/>
  <c r="GV6" i="4"/>
  <c r="GW6" i="4"/>
  <c r="GX6" i="4"/>
  <c r="GY6" i="4"/>
  <c r="GZ6" i="4"/>
  <c r="HA6" i="4"/>
  <c r="HB6" i="4"/>
  <c r="HC6" i="4"/>
  <c r="HD6" i="4"/>
  <c r="HE6" i="4"/>
  <c r="HF6" i="4"/>
  <c r="HG6" i="4"/>
  <c r="HH6" i="4"/>
  <c r="HI6" i="4"/>
  <c r="HJ6" i="4"/>
  <c r="HK6" i="4"/>
  <c r="HL6" i="4"/>
  <c r="HM6" i="4"/>
  <c r="HN6" i="4"/>
  <c r="HO6" i="4"/>
  <c r="HP6" i="4"/>
  <c r="HQ6" i="4"/>
  <c r="HR6" i="4"/>
  <c r="HS6" i="4"/>
  <c r="HT6" i="4"/>
  <c r="HU6" i="4"/>
  <c r="HV6" i="4"/>
  <c r="HW6" i="4"/>
  <c r="HX6" i="4"/>
  <c r="HY6" i="4"/>
  <c r="HZ6" i="4"/>
  <c r="IA6" i="4"/>
  <c r="IB6" i="4"/>
  <c r="IC6" i="4"/>
  <c r="ID6" i="4"/>
  <c r="IE6" i="4"/>
  <c r="IF6" i="4"/>
  <c r="IG6" i="4"/>
  <c r="IH6" i="4"/>
  <c r="II6" i="4"/>
  <c r="IJ6" i="4"/>
  <c r="IK6" i="4"/>
  <c r="IL6" i="4"/>
  <c r="IM6" i="4"/>
  <c r="IN6" i="4"/>
  <c r="IO6" i="4"/>
  <c r="IP6" i="4"/>
  <c r="IQ6" i="4"/>
  <c r="IR6" i="4"/>
  <c r="IS6" i="4"/>
  <c r="IT6" i="4"/>
  <c r="IU6" i="4"/>
  <c r="IV6" i="4"/>
  <c r="A5" i="4"/>
  <c r="B5" i="4"/>
  <c r="C5"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Q5" i="4"/>
  <c r="AR5" i="4"/>
  <c r="AS5" i="4"/>
  <c r="AT5" i="4"/>
  <c r="AU5" i="4"/>
  <c r="AV5" i="4"/>
  <c r="AW5" i="4"/>
  <c r="AX5" i="4"/>
  <c r="AY5" i="4"/>
  <c r="AZ5" i="4"/>
  <c r="BA5" i="4"/>
  <c r="BB5" i="4"/>
  <c r="BC5" i="4"/>
  <c r="BD5" i="4"/>
  <c r="BE5" i="4"/>
  <c r="BF5" i="4"/>
  <c r="BG5" i="4"/>
  <c r="BH5" i="4"/>
  <c r="BI5" i="4"/>
  <c r="BJ5" i="4"/>
  <c r="BK5" i="4"/>
  <c r="BL5" i="4"/>
  <c r="BM5" i="4"/>
  <c r="BN5" i="4"/>
  <c r="BO5" i="4"/>
  <c r="BP5" i="4"/>
  <c r="BQ5" i="4"/>
  <c r="BR5" i="4"/>
  <c r="BS5" i="4"/>
  <c r="BT5" i="4"/>
  <c r="BU5" i="4"/>
  <c r="BV5" i="4"/>
  <c r="BW5" i="4"/>
  <c r="BX5" i="4"/>
  <c r="BY5" i="4"/>
  <c r="BZ5" i="4"/>
  <c r="CA5" i="4"/>
  <c r="CB5" i="4"/>
  <c r="CC5" i="4"/>
  <c r="CD5" i="4"/>
  <c r="CE5" i="4"/>
  <c r="CF5" i="4"/>
  <c r="CG5" i="4"/>
  <c r="CH5" i="4"/>
  <c r="CI5" i="4"/>
  <c r="CJ5" i="4"/>
  <c r="CK5" i="4"/>
  <c r="CL5" i="4"/>
  <c r="CM5" i="4"/>
  <c r="CN5" i="4"/>
  <c r="CO5" i="4"/>
  <c r="CP5" i="4"/>
  <c r="CQ5" i="4"/>
  <c r="CR5" i="4"/>
  <c r="CS5" i="4"/>
  <c r="CT5" i="4"/>
  <c r="CU5" i="4"/>
  <c r="CV5" i="4"/>
  <c r="CW5" i="4"/>
  <c r="CX5" i="4"/>
  <c r="CY5" i="4"/>
  <c r="CZ5" i="4"/>
  <c r="DA5" i="4"/>
  <c r="DB5" i="4"/>
  <c r="DC5" i="4"/>
  <c r="DD5" i="4"/>
  <c r="DE5" i="4"/>
  <c r="DF5" i="4"/>
  <c r="DG5" i="4"/>
  <c r="DH5" i="4"/>
  <c r="DI5" i="4"/>
  <c r="DJ5" i="4"/>
  <c r="DK5" i="4"/>
  <c r="DL5" i="4"/>
  <c r="DM5" i="4"/>
  <c r="DN5" i="4"/>
  <c r="DO5" i="4"/>
  <c r="DP5" i="4"/>
  <c r="DQ5" i="4"/>
  <c r="DR5" i="4"/>
  <c r="DS5" i="4"/>
  <c r="DT5" i="4"/>
  <c r="DU5" i="4"/>
  <c r="DV5" i="4"/>
  <c r="DW5" i="4"/>
  <c r="DX5" i="4"/>
  <c r="DY5" i="4"/>
  <c r="DZ5" i="4"/>
  <c r="EA5" i="4"/>
  <c r="EB5" i="4"/>
  <c r="EC5" i="4"/>
  <c r="ED5" i="4"/>
  <c r="EE5" i="4"/>
  <c r="EF5" i="4"/>
  <c r="EG5" i="4"/>
  <c r="EH5" i="4"/>
  <c r="EI5" i="4"/>
  <c r="EJ5" i="4"/>
  <c r="EK5" i="4"/>
  <c r="EL5" i="4"/>
  <c r="EM5" i="4"/>
  <c r="EN5" i="4"/>
  <c r="EO5" i="4"/>
  <c r="EP5" i="4"/>
  <c r="EQ5" i="4"/>
  <c r="ER5" i="4"/>
  <c r="ES5" i="4"/>
  <c r="ET5" i="4"/>
  <c r="EU5" i="4"/>
  <c r="EV5" i="4"/>
  <c r="EW5" i="4"/>
  <c r="EX5" i="4"/>
  <c r="EY5" i="4"/>
  <c r="EZ5" i="4"/>
  <c r="FA5" i="4"/>
  <c r="FB5" i="4"/>
  <c r="FC5" i="4"/>
  <c r="FD5" i="4"/>
  <c r="FE5" i="4"/>
  <c r="FF5" i="4"/>
  <c r="FG5" i="4"/>
  <c r="FH5" i="4"/>
  <c r="FI5" i="4"/>
  <c r="FJ5" i="4"/>
  <c r="FK5" i="4"/>
  <c r="FL5" i="4"/>
  <c r="FM5" i="4"/>
  <c r="FN5" i="4"/>
  <c r="FO5" i="4"/>
  <c r="FP5" i="4"/>
  <c r="FQ5" i="4"/>
  <c r="FR5" i="4"/>
  <c r="FS5" i="4"/>
  <c r="FT5" i="4"/>
  <c r="FU5" i="4"/>
  <c r="FV5" i="4"/>
  <c r="FW5" i="4"/>
  <c r="FX5" i="4"/>
  <c r="FY5" i="4"/>
  <c r="FZ5" i="4"/>
  <c r="GA5" i="4"/>
  <c r="GB5" i="4"/>
  <c r="GC5" i="4"/>
  <c r="GD5" i="4"/>
  <c r="GE5" i="4"/>
  <c r="GF5" i="4"/>
  <c r="GG5" i="4"/>
  <c r="GH5" i="4"/>
  <c r="GI5" i="4"/>
  <c r="GJ5" i="4"/>
  <c r="GK5" i="4"/>
  <c r="GL5" i="4"/>
  <c r="GM5" i="4"/>
  <c r="GN5" i="4"/>
  <c r="GO5" i="4"/>
  <c r="GP5" i="4"/>
  <c r="GQ5" i="4"/>
  <c r="GR5" i="4"/>
  <c r="GS5" i="4"/>
  <c r="GT5" i="4"/>
  <c r="GU5" i="4"/>
  <c r="GV5" i="4"/>
  <c r="GW5" i="4"/>
  <c r="GX5" i="4"/>
  <c r="GY5" i="4"/>
  <c r="GZ5" i="4"/>
  <c r="HA5" i="4"/>
  <c r="HB5" i="4"/>
  <c r="HC5" i="4"/>
  <c r="HD5" i="4"/>
  <c r="HE5" i="4"/>
  <c r="HF5" i="4"/>
  <c r="HG5" i="4"/>
  <c r="HH5" i="4"/>
  <c r="HI5" i="4"/>
  <c r="HJ5" i="4"/>
  <c r="HK5" i="4"/>
  <c r="HL5" i="4"/>
  <c r="HM5" i="4"/>
  <c r="HN5" i="4"/>
  <c r="HO5" i="4"/>
  <c r="HP5" i="4"/>
  <c r="HQ5" i="4"/>
  <c r="HR5" i="4"/>
  <c r="HS5" i="4"/>
  <c r="HT5" i="4"/>
  <c r="HU5" i="4"/>
  <c r="HV5" i="4"/>
  <c r="HW5" i="4"/>
  <c r="HX5" i="4"/>
  <c r="HY5" i="4"/>
  <c r="HZ5" i="4"/>
  <c r="IA5" i="4"/>
  <c r="IB5" i="4"/>
  <c r="IC5" i="4"/>
  <c r="ID5" i="4"/>
  <c r="IE5" i="4"/>
  <c r="IF5" i="4"/>
  <c r="IG5" i="4"/>
  <c r="IH5" i="4"/>
  <c r="II5" i="4"/>
  <c r="IJ5" i="4"/>
  <c r="IK5" i="4"/>
  <c r="IL5" i="4"/>
  <c r="IM5" i="4"/>
  <c r="IN5" i="4"/>
  <c r="IO5" i="4"/>
  <c r="IP5" i="4"/>
  <c r="IQ5" i="4"/>
  <c r="IR5" i="4"/>
  <c r="IS5" i="4"/>
  <c r="IT5" i="4"/>
  <c r="IU5" i="4"/>
  <c r="IV5" i="4"/>
  <c r="A4" i="4"/>
  <c r="B4" i="4"/>
  <c r="C4" i="4"/>
  <c r="D4" i="4"/>
  <c r="E4" i="4"/>
  <c r="F4" i="4"/>
  <c r="G4" i="4"/>
  <c r="H4" i="4"/>
  <c r="I4" i="4"/>
  <c r="J4" i="4"/>
  <c r="K4" i="4"/>
  <c r="L4" i="4"/>
  <c r="M4" i="4"/>
  <c r="N4" i="4"/>
  <c r="O4" i="4"/>
  <c r="P4" i="4"/>
  <c r="Q4" i="4"/>
  <c r="R4" i="4"/>
  <c r="S4" i="4"/>
  <c r="T4" i="4"/>
  <c r="U4" i="4"/>
  <c r="V4" i="4"/>
  <c r="W4" i="4"/>
  <c r="X4" i="4"/>
  <c r="Y4" i="4"/>
  <c r="Z4" i="4"/>
  <c r="AA4" i="4"/>
  <c r="AB4" i="4"/>
  <c r="AC4" i="4"/>
  <c r="AD4" i="4"/>
  <c r="AE4" i="4"/>
  <c r="AF4" i="4"/>
  <c r="AG4" i="4"/>
  <c r="AH4" i="4"/>
  <c r="AI4" i="4"/>
  <c r="AJ4" i="4"/>
  <c r="AK4" i="4"/>
  <c r="AL4" i="4"/>
  <c r="AM4" i="4"/>
  <c r="AN4" i="4"/>
  <c r="AO4" i="4"/>
  <c r="AP4" i="4"/>
  <c r="AQ4" i="4"/>
  <c r="AR4" i="4"/>
  <c r="AS4" i="4"/>
  <c r="AT4" i="4"/>
  <c r="AU4" i="4"/>
  <c r="AV4" i="4"/>
  <c r="AW4" i="4"/>
  <c r="AX4" i="4"/>
  <c r="AY4" i="4"/>
  <c r="AZ4" i="4"/>
  <c r="BA4" i="4"/>
  <c r="BB4" i="4"/>
  <c r="BC4" i="4"/>
  <c r="BD4" i="4"/>
  <c r="BE4" i="4"/>
  <c r="BF4" i="4"/>
  <c r="BG4" i="4"/>
  <c r="BH4" i="4"/>
  <c r="BI4" i="4"/>
  <c r="BJ4" i="4"/>
  <c r="BK4" i="4"/>
  <c r="BL4" i="4"/>
  <c r="BM4" i="4"/>
  <c r="BN4" i="4"/>
  <c r="BO4" i="4"/>
  <c r="BP4" i="4"/>
  <c r="BQ4" i="4"/>
  <c r="BR4" i="4"/>
  <c r="BS4" i="4"/>
  <c r="BT4" i="4"/>
  <c r="BU4" i="4"/>
  <c r="BV4" i="4"/>
  <c r="BW4" i="4"/>
  <c r="BX4" i="4"/>
  <c r="BY4" i="4"/>
  <c r="BZ4" i="4"/>
  <c r="CA4" i="4"/>
  <c r="CB4" i="4"/>
  <c r="CC4" i="4"/>
  <c r="CD4" i="4"/>
  <c r="CE4" i="4"/>
  <c r="CF4" i="4"/>
  <c r="CG4" i="4"/>
  <c r="CH4" i="4"/>
  <c r="CI4" i="4"/>
  <c r="CJ4" i="4"/>
  <c r="CK4" i="4"/>
  <c r="CL4" i="4"/>
  <c r="CM4" i="4"/>
  <c r="CN4" i="4"/>
  <c r="CO4" i="4"/>
  <c r="CP4" i="4"/>
  <c r="CQ4" i="4"/>
  <c r="CR4" i="4"/>
  <c r="CS4" i="4"/>
  <c r="CT4" i="4"/>
  <c r="CU4" i="4"/>
  <c r="CV4" i="4"/>
  <c r="CW4" i="4"/>
  <c r="CX4" i="4"/>
  <c r="CY4" i="4"/>
  <c r="CZ4" i="4"/>
  <c r="DA4" i="4"/>
  <c r="DB4" i="4"/>
  <c r="DC4" i="4"/>
  <c r="DD4" i="4"/>
  <c r="DE4" i="4"/>
  <c r="DF4" i="4"/>
  <c r="DG4" i="4"/>
  <c r="DH4" i="4"/>
  <c r="DI4" i="4"/>
  <c r="DJ4" i="4"/>
  <c r="DK4" i="4"/>
  <c r="DL4" i="4"/>
  <c r="DM4" i="4"/>
  <c r="DN4" i="4"/>
  <c r="DO4" i="4"/>
  <c r="DP4" i="4"/>
  <c r="DQ4" i="4"/>
  <c r="DR4" i="4"/>
  <c r="DS4" i="4"/>
  <c r="DT4" i="4"/>
  <c r="DU4" i="4"/>
  <c r="DV4" i="4"/>
  <c r="DW4" i="4"/>
  <c r="DX4" i="4"/>
  <c r="DY4" i="4"/>
  <c r="DZ4" i="4"/>
  <c r="EA4" i="4"/>
  <c r="EB4" i="4"/>
  <c r="EC4" i="4"/>
  <c r="ED4" i="4"/>
  <c r="EE4" i="4"/>
  <c r="EF4" i="4"/>
  <c r="EG4" i="4"/>
  <c r="EH4" i="4"/>
  <c r="EI4" i="4"/>
  <c r="EJ4" i="4"/>
  <c r="EK4" i="4"/>
  <c r="EL4" i="4"/>
  <c r="EM4" i="4"/>
  <c r="EN4" i="4"/>
  <c r="EO4" i="4"/>
  <c r="EP4" i="4"/>
  <c r="EQ4" i="4"/>
  <c r="ER4" i="4"/>
  <c r="ES4" i="4"/>
  <c r="ET4" i="4"/>
  <c r="EU4" i="4"/>
  <c r="EV4" i="4"/>
  <c r="EW4" i="4"/>
  <c r="EX4" i="4"/>
  <c r="EY4" i="4"/>
  <c r="EZ4" i="4"/>
  <c r="FA4" i="4"/>
  <c r="FB4" i="4"/>
  <c r="FC4" i="4"/>
  <c r="FD4" i="4"/>
  <c r="FE4" i="4"/>
  <c r="FF4" i="4"/>
  <c r="FG4" i="4"/>
  <c r="FH4" i="4"/>
  <c r="FI4" i="4"/>
  <c r="FJ4" i="4"/>
  <c r="FK4" i="4"/>
  <c r="FL4" i="4"/>
  <c r="FM4" i="4"/>
  <c r="FN4" i="4"/>
  <c r="FO4" i="4"/>
  <c r="FP4" i="4"/>
  <c r="FQ4" i="4"/>
  <c r="FR4" i="4"/>
  <c r="FS4" i="4"/>
  <c r="FT4" i="4"/>
  <c r="FU4" i="4"/>
  <c r="FV4" i="4"/>
  <c r="FW4" i="4"/>
  <c r="FX4" i="4"/>
  <c r="FY4" i="4"/>
  <c r="FZ4" i="4"/>
  <c r="GA4" i="4"/>
  <c r="GB4" i="4"/>
  <c r="GC4" i="4"/>
  <c r="GD4" i="4"/>
  <c r="GE4" i="4"/>
  <c r="GF4" i="4"/>
  <c r="GG4" i="4"/>
  <c r="GH4" i="4"/>
  <c r="GI4" i="4"/>
  <c r="GJ4" i="4"/>
  <c r="GK4" i="4"/>
  <c r="GL4" i="4"/>
  <c r="GM4" i="4"/>
  <c r="GN4" i="4"/>
  <c r="GO4" i="4"/>
  <c r="GP4" i="4"/>
  <c r="GQ4" i="4"/>
  <c r="GR4" i="4"/>
  <c r="GS4" i="4"/>
  <c r="GT4" i="4"/>
  <c r="GU4" i="4"/>
  <c r="GV4" i="4"/>
  <c r="GW4" i="4"/>
  <c r="GX4" i="4"/>
  <c r="GY4" i="4"/>
  <c r="GZ4" i="4"/>
  <c r="HA4" i="4"/>
  <c r="HB4" i="4"/>
  <c r="HC4" i="4"/>
  <c r="HD4" i="4"/>
  <c r="HE4" i="4"/>
  <c r="HF4" i="4"/>
  <c r="HG4" i="4"/>
  <c r="HH4" i="4"/>
  <c r="HI4" i="4"/>
  <c r="HJ4" i="4"/>
  <c r="HK4" i="4"/>
  <c r="HL4" i="4"/>
  <c r="HM4" i="4"/>
  <c r="HN4" i="4"/>
  <c r="HO4" i="4"/>
  <c r="HP4" i="4"/>
  <c r="HQ4" i="4"/>
  <c r="HR4" i="4"/>
  <c r="HS4" i="4"/>
  <c r="HT4" i="4"/>
  <c r="HU4" i="4"/>
  <c r="HV4" i="4"/>
  <c r="HW4" i="4"/>
  <c r="HX4" i="4"/>
  <c r="HY4" i="4"/>
  <c r="HZ4" i="4"/>
  <c r="IA4" i="4"/>
  <c r="IB4" i="4"/>
  <c r="IC4" i="4"/>
  <c r="ID4" i="4"/>
  <c r="IE4" i="4"/>
  <c r="IF4" i="4"/>
  <c r="IG4" i="4"/>
  <c r="IH4" i="4"/>
  <c r="II4" i="4"/>
  <c r="IJ4" i="4"/>
  <c r="IK4" i="4"/>
  <c r="IL4" i="4"/>
  <c r="IM4" i="4"/>
  <c r="IN4" i="4"/>
  <c r="IO4" i="4"/>
  <c r="IP4" i="4"/>
  <c r="IQ4" i="4"/>
  <c r="IR4" i="4"/>
  <c r="IS4" i="4"/>
  <c r="IT4" i="4"/>
  <c r="IU4" i="4"/>
  <c r="IV4" i="4"/>
  <c r="A3" i="4"/>
  <c r="B3" i="4"/>
  <c r="C3" i="4"/>
  <c r="D3" i="4"/>
  <c r="E3" i="4"/>
  <c r="F3" i="4"/>
  <c r="G3" i="4"/>
  <c r="H3" i="4"/>
  <c r="I3" i="4"/>
  <c r="J3" i="4"/>
  <c r="K3" i="4"/>
  <c r="L3" i="4"/>
  <c r="M3" i="4"/>
  <c r="N3" i="4"/>
  <c r="O3" i="4"/>
  <c r="P3" i="4"/>
  <c r="Q3" i="4"/>
  <c r="R3" i="4"/>
  <c r="S3" i="4"/>
  <c r="T3" i="4"/>
  <c r="U3" i="4"/>
  <c r="V3" i="4"/>
  <c r="W3" i="4"/>
  <c r="X3" i="4"/>
  <c r="Y3" i="4"/>
  <c r="Z3" i="4"/>
  <c r="AA3" i="4"/>
  <c r="AB3" i="4"/>
  <c r="AC3" i="4"/>
  <c r="AD3" i="4"/>
  <c r="AE3" i="4"/>
  <c r="AF3" i="4"/>
  <c r="AG3" i="4"/>
  <c r="AH3" i="4"/>
  <c r="AI3" i="4"/>
  <c r="AJ3" i="4"/>
  <c r="AK3" i="4"/>
  <c r="AL3" i="4"/>
  <c r="AM3" i="4"/>
  <c r="AN3" i="4"/>
  <c r="AO3" i="4"/>
  <c r="AP3" i="4"/>
  <c r="AQ3" i="4"/>
  <c r="AR3" i="4"/>
  <c r="AS3" i="4"/>
  <c r="AT3" i="4"/>
  <c r="AU3" i="4"/>
  <c r="AV3" i="4"/>
  <c r="AW3" i="4"/>
  <c r="AX3" i="4"/>
  <c r="AY3" i="4"/>
  <c r="AZ3" i="4"/>
  <c r="BA3" i="4"/>
  <c r="BB3" i="4"/>
  <c r="BC3" i="4"/>
  <c r="BD3" i="4"/>
  <c r="BE3" i="4"/>
  <c r="BF3" i="4"/>
  <c r="BG3" i="4"/>
  <c r="BH3" i="4"/>
  <c r="BI3" i="4"/>
  <c r="BJ3" i="4"/>
  <c r="BK3" i="4"/>
  <c r="BL3" i="4"/>
  <c r="BM3" i="4"/>
  <c r="BN3" i="4"/>
  <c r="BO3" i="4"/>
  <c r="BP3" i="4"/>
  <c r="BQ3" i="4"/>
  <c r="BR3" i="4"/>
  <c r="BS3" i="4"/>
  <c r="BT3" i="4"/>
  <c r="BU3" i="4"/>
  <c r="BV3" i="4"/>
  <c r="BW3" i="4"/>
  <c r="BX3" i="4"/>
  <c r="BY3" i="4"/>
  <c r="BZ3" i="4"/>
  <c r="CA3" i="4"/>
  <c r="CB3" i="4"/>
  <c r="CC3" i="4"/>
  <c r="CD3" i="4"/>
  <c r="CE3" i="4"/>
  <c r="CF3" i="4"/>
  <c r="CG3" i="4"/>
  <c r="CH3" i="4"/>
  <c r="CI3" i="4"/>
  <c r="CJ3" i="4"/>
  <c r="CK3" i="4"/>
  <c r="CL3" i="4"/>
  <c r="CM3" i="4"/>
  <c r="CN3" i="4"/>
  <c r="CO3" i="4"/>
  <c r="CP3" i="4"/>
  <c r="CQ3" i="4"/>
  <c r="CR3" i="4"/>
  <c r="CS3" i="4"/>
  <c r="CT3" i="4"/>
  <c r="CU3" i="4"/>
  <c r="CV3" i="4"/>
  <c r="CW3" i="4"/>
  <c r="CX3" i="4"/>
  <c r="CY3" i="4"/>
  <c r="CZ3" i="4"/>
  <c r="DA3" i="4"/>
  <c r="DB3" i="4"/>
  <c r="DC3" i="4"/>
  <c r="DD3" i="4"/>
  <c r="DE3" i="4"/>
  <c r="DF3" i="4"/>
  <c r="DG3" i="4"/>
  <c r="DH3" i="4"/>
  <c r="DI3" i="4"/>
  <c r="DJ3" i="4"/>
  <c r="DK3" i="4"/>
  <c r="DL3" i="4"/>
  <c r="DM3" i="4"/>
  <c r="DN3" i="4"/>
  <c r="DO3" i="4"/>
  <c r="DP3" i="4"/>
  <c r="DQ3" i="4"/>
  <c r="DR3" i="4"/>
  <c r="DS3" i="4"/>
  <c r="DT3" i="4"/>
  <c r="DU3" i="4"/>
  <c r="DV3" i="4"/>
  <c r="DW3" i="4"/>
  <c r="DX3" i="4"/>
  <c r="DY3" i="4"/>
  <c r="DZ3" i="4"/>
  <c r="EA3" i="4"/>
  <c r="EB3" i="4"/>
  <c r="EC3" i="4"/>
  <c r="ED3" i="4"/>
  <c r="EE3" i="4"/>
  <c r="EF3" i="4"/>
  <c r="EG3" i="4"/>
  <c r="EH3" i="4"/>
  <c r="EI3" i="4"/>
  <c r="EJ3" i="4"/>
  <c r="EK3" i="4"/>
  <c r="EL3" i="4"/>
  <c r="EM3" i="4"/>
  <c r="EN3" i="4"/>
  <c r="EO3" i="4"/>
  <c r="EP3" i="4"/>
  <c r="EQ3" i="4"/>
  <c r="ER3" i="4"/>
  <c r="ES3" i="4"/>
  <c r="ET3" i="4"/>
  <c r="EU3" i="4"/>
  <c r="EV3" i="4"/>
  <c r="EW3" i="4"/>
  <c r="EX3" i="4"/>
  <c r="EY3" i="4"/>
  <c r="EZ3" i="4"/>
  <c r="FA3" i="4"/>
  <c r="FB3" i="4"/>
  <c r="FC3" i="4"/>
  <c r="FD3" i="4"/>
  <c r="FE3" i="4"/>
  <c r="FF3" i="4"/>
  <c r="FG3" i="4"/>
  <c r="FH3" i="4"/>
  <c r="FI3" i="4"/>
  <c r="FJ3" i="4"/>
  <c r="FK3" i="4"/>
  <c r="FL3" i="4"/>
  <c r="FM3" i="4"/>
  <c r="FN3" i="4"/>
  <c r="FO3" i="4"/>
  <c r="FP3" i="4"/>
  <c r="FQ3" i="4"/>
  <c r="FR3" i="4"/>
  <c r="FS3" i="4"/>
  <c r="FT3" i="4"/>
  <c r="FU3" i="4"/>
  <c r="FV3" i="4"/>
  <c r="FW3" i="4"/>
  <c r="FX3" i="4"/>
  <c r="FY3" i="4"/>
  <c r="FZ3" i="4"/>
  <c r="GA3" i="4"/>
  <c r="GB3" i="4"/>
  <c r="GC3" i="4"/>
  <c r="GD3" i="4"/>
  <c r="GE3" i="4"/>
  <c r="GF3" i="4"/>
  <c r="GG3" i="4"/>
  <c r="GH3" i="4"/>
  <c r="GI3" i="4"/>
  <c r="GJ3" i="4"/>
  <c r="GK3" i="4"/>
  <c r="GL3" i="4"/>
  <c r="GM3" i="4"/>
  <c r="GN3" i="4"/>
  <c r="GO3" i="4"/>
  <c r="GP3" i="4"/>
  <c r="GQ3" i="4"/>
  <c r="GR3" i="4"/>
  <c r="GS3" i="4"/>
  <c r="GT3" i="4"/>
  <c r="GU3" i="4"/>
  <c r="GV3" i="4"/>
  <c r="GW3" i="4"/>
  <c r="GX3" i="4"/>
  <c r="GY3" i="4"/>
  <c r="GZ3" i="4"/>
  <c r="HA3" i="4"/>
  <c r="HB3" i="4"/>
  <c r="HC3" i="4"/>
  <c r="HD3" i="4"/>
  <c r="HE3" i="4"/>
  <c r="HF3" i="4"/>
  <c r="HG3" i="4"/>
  <c r="HH3" i="4"/>
  <c r="HI3" i="4"/>
  <c r="HJ3" i="4"/>
  <c r="HK3" i="4"/>
  <c r="HL3" i="4"/>
  <c r="HM3" i="4"/>
  <c r="HN3" i="4"/>
  <c r="HO3" i="4"/>
  <c r="HP3" i="4"/>
  <c r="HQ3" i="4"/>
  <c r="HR3" i="4"/>
  <c r="HS3" i="4"/>
  <c r="HT3" i="4"/>
  <c r="HU3" i="4"/>
  <c r="HV3" i="4"/>
  <c r="HW3" i="4"/>
  <c r="HX3" i="4"/>
  <c r="HY3" i="4"/>
  <c r="HZ3" i="4"/>
  <c r="IA3" i="4"/>
  <c r="IB3" i="4"/>
  <c r="IC3" i="4"/>
  <c r="ID3" i="4"/>
  <c r="IE3" i="4"/>
  <c r="IF3" i="4"/>
  <c r="IG3" i="4"/>
  <c r="IH3" i="4"/>
  <c r="II3" i="4"/>
  <c r="IJ3" i="4"/>
  <c r="IK3" i="4"/>
  <c r="IL3" i="4"/>
  <c r="IM3" i="4"/>
  <c r="IN3" i="4"/>
  <c r="IO3" i="4"/>
  <c r="IP3" i="4"/>
  <c r="IQ3" i="4"/>
  <c r="IR3" i="4"/>
  <c r="IS3" i="4"/>
  <c r="IT3" i="4"/>
  <c r="IU3" i="4"/>
  <c r="IV3" i="4"/>
  <c r="A2" i="4"/>
  <c r="B2" i="4"/>
  <c r="C2" i="4"/>
  <c r="D2" i="4"/>
  <c r="E2" i="4"/>
  <c r="F2" i="4"/>
  <c r="G2" i="4"/>
  <c r="H2" i="4"/>
  <c r="I2" i="4"/>
  <c r="J2" i="4"/>
  <c r="K2" i="4"/>
  <c r="L2" i="4"/>
  <c r="M2" i="4"/>
  <c r="N2" i="4"/>
  <c r="O2" i="4"/>
  <c r="P2" i="4"/>
  <c r="Q2" i="4"/>
  <c r="R2" i="4"/>
  <c r="S2" i="4"/>
  <c r="T2" i="4"/>
  <c r="U2" i="4"/>
  <c r="V2" i="4"/>
  <c r="W2" i="4"/>
  <c r="X2" i="4"/>
  <c r="Y2" i="4"/>
  <c r="Z2" i="4"/>
  <c r="AA2" i="4"/>
  <c r="AB2" i="4"/>
  <c r="AC2" i="4"/>
  <c r="AD2" i="4"/>
  <c r="AE2" i="4"/>
  <c r="AF2" i="4"/>
  <c r="AG2" i="4"/>
  <c r="AH2" i="4"/>
  <c r="AI2" i="4"/>
  <c r="AJ2" i="4"/>
  <c r="AK2" i="4"/>
  <c r="AL2" i="4"/>
  <c r="AM2" i="4"/>
  <c r="AN2" i="4"/>
  <c r="AO2" i="4"/>
  <c r="AP2" i="4"/>
  <c r="AQ2" i="4"/>
  <c r="AR2" i="4"/>
  <c r="AS2" i="4"/>
  <c r="AT2" i="4"/>
  <c r="AU2" i="4"/>
  <c r="AV2" i="4"/>
  <c r="AW2" i="4"/>
  <c r="AX2" i="4"/>
  <c r="AY2" i="4"/>
  <c r="AZ2" i="4"/>
  <c r="BA2" i="4"/>
  <c r="BB2" i="4"/>
  <c r="BC2" i="4"/>
  <c r="BD2" i="4"/>
  <c r="BE2" i="4"/>
  <c r="BF2" i="4"/>
  <c r="BG2" i="4"/>
  <c r="BH2" i="4"/>
  <c r="BI2" i="4"/>
  <c r="BJ2" i="4"/>
  <c r="BK2" i="4"/>
  <c r="BL2" i="4"/>
  <c r="BM2" i="4"/>
  <c r="BN2" i="4"/>
  <c r="BO2" i="4"/>
  <c r="BP2" i="4"/>
  <c r="BQ2" i="4"/>
  <c r="BR2" i="4"/>
  <c r="BS2" i="4"/>
  <c r="BT2" i="4"/>
  <c r="BU2" i="4"/>
  <c r="BV2" i="4"/>
  <c r="BW2" i="4"/>
  <c r="BX2" i="4"/>
  <c r="BY2" i="4"/>
  <c r="BZ2" i="4"/>
  <c r="CA2" i="4"/>
  <c r="CB2" i="4"/>
  <c r="CC2" i="4"/>
  <c r="CD2" i="4"/>
  <c r="CE2" i="4"/>
  <c r="CF2" i="4"/>
  <c r="CG2" i="4"/>
  <c r="CH2" i="4"/>
  <c r="CI2" i="4"/>
  <c r="CJ2" i="4"/>
  <c r="CK2" i="4"/>
  <c r="CL2" i="4"/>
  <c r="CM2" i="4"/>
  <c r="CN2" i="4"/>
  <c r="CO2" i="4"/>
  <c r="CP2" i="4"/>
  <c r="CQ2" i="4"/>
  <c r="CR2" i="4"/>
  <c r="CS2" i="4"/>
  <c r="CT2" i="4"/>
  <c r="CU2" i="4"/>
  <c r="CV2" i="4"/>
  <c r="CW2" i="4"/>
  <c r="CX2" i="4"/>
  <c r="CY2" i="4"/>
  <c r="CZ2" i="4"/>
  <c r="DA2" i="4"/>
  <c r="DB2" i="4"/>
  <c r="DC2" i="4"/>
  <c r="DD2" i="4"/>
  <c r="DE2" i="4"/>
  <c r="DF2" i="4"/>
  <c r="DG2" i="4"/>
  <c r="DH2" i="4"/>
  <c r="DI2" i="4"/>
  <c r="DJ2" i="4"/>
  <c r="DK2" i="4"/>
  <c r="DL2" i="4"/>
  <c r="DM2" i="4"/>
  <c r="DN2" i="4"/>
  <c r="DO2" i="4"/>
  <c r="DP2" i="4"/>
  <c r="DQ2" i="4"/>
  <c r="DR2" i="4"/>
  <c r="DS2" i="4"/>
  <c r="DT2" i="4"/>
  <c r="DU2" i="4"/>
  <c r="DV2" i="4"/>
  <c r="DW2" i="4"/>
  <c r="DX2" i="4"/>
  <c r="DY2" i="4"/>
  <c r="DZ2" i="4"/>
  <c r="EA2" i="4"/>
  <c r="EB2" i="4"/>
  <c r="EC2" i="4"/>
  <c r="ED2" i="4"/>
  <c r="EE2" i="4"/>
  <c r="EF2" i="4"/>
  <c r="EG2" i="4"/>
  <c r="EH2" i="4"/>
  <c r="EI2" i="4"/>
  <c r="EJ2" i="4"/>
  <c r="EK2" i="4"/>
  <c r="EL2" i="4"/>
  <c r="EM2" i="4"/>
  <c r="EN2" i="4"/>
  <c r="EO2" i="4"/>
  <c r="EP2" i="4"/>
  <c r="EQ2" i="4"/>
  <c r="ER2" i="4"/>
  <c r="ES2" i="4"/>
  <c r="ET2" i="4"/>
  <c r="EU2" i="4"/>
  <c r="EV2" i="4"/>
  <c r="EW2" i="4"/>
  <c r="EX2" i="4"/>
  <c r="EY2" i="4"/>
  <c r="EZ2" i="4"/>
  <c r="FA2" i="4"/>
  <c r="FB2" i="4"/>
  <c r="FC2" i="4"/>
  <c r="FD2" i="4"/>
  <c r="FE2" i="4"/>
  <c r="FF2" i="4"/>
  <c r="FG2" i="4"/>
  <c r="FH2" i="4"/>
  <c r="FI2" i="4"/>
  <c r="FJ2" i="4"/>
  <c r="FK2" i="4"/>
  <c r="FL2" i="4"/>
  <c r="FM2" i="4"/>
  <c r="FN2" i="4"/>
  <c r="FO2" i="4"/>
  <c r="FP2" i="4"/>
  <c r="FQ2" i="4"/>
  <c r="FR2" i="4"/>
  <c r="FS2" i="4"/>
  <c r="FT2" i="4"/>
  <c r="FU2" i="4"/>
  <c r="FV2" i="4"/>
  <c r="FW2" i="4"/>
  <c r="FX2" i="4"/>
  <c r="FY2" i="4"/>
  <c r="FZ2" i="4"/>
  <c r="GA2" i="4"/>
  <c r="GB2" i="4"/>
  <c r="GC2" i="4"/>
  <c r="GD2" i="4"/>
  <c r="GE2" i="4"/>
  <c r="GF2" i="4"/>
  <c r="GG2" i="4"/>
  <c r="GH2" i="4"/>
  <c r="GI2" i="4"/>
  <c r="GJ2" i="4"/>
  <c r="GK2" i="4"/>
  <c r="GL2" i="4"/>
  <c r="GM2" i="4"/>
  <c r="GN2" i="4"/>
  <c r="GO2" i="4"/>
  <c r="GP2" i="4"/>
  <c r="GQ2" i="4"/>
  <c r="GR2" i="4"/>
  <c r="GS2" i="4"/>
  <c r="GT2" i="4"/>
  <c r="GU2" i="4"/>
  <c r="GV2" i="4"/>
  <c r="GW2" i="4"/>
  <c r="GX2" i="4"/>
  <c r="GY2" i="4"/>
  <c r="GZ2" i="4"/>
  <c r="HA2" i="4"/>
  <c r="HB2" i="4"/>
  <c r="HC2" i="4"/>
  <c r="HD2" i="4"/>
  <c r="HE2" i="4"/>
  <c r="HF2" i="4"/>
  <c r="HG2" i="4"/>
  <c r="HH2" i="4"/>
  <c r="HI2" i="4"/>
  <c r="HJ2" i="4"/>
  <c r="HK2" i="4"/>
  <c r="HL2" i="4"/>
  <c r="HM2" i="4"/>
  <c r="HN2" i="4"/>
  <c r="HO2" i="4"/>
  <c r="HP2" i="4"/>
  <c r="HQ2" i="4"/>
  <c r="HR2" i="4"/>
  <c r="HS2" i="4"/>
  <c r="HT2" i="4"/>
  <c r="HU2" i="4"/>
  <c r="HV2" i="4"/>
  <c r="HW2" i="4"/>
  <c r="HX2" i="4"/>
  <c r="HY2" i="4"/>
  <c r="HZ2" i="4"/>
  <c r="IA2" i="4"/>
  <c r="IB2" i="4"/>
  <c r="IC2" i="4"/>
  <c r="ID2" i="4"/>
  <c r="IE2" i="4"/>
  <c r="IF2" i="4"/>
  <c r="IG2" i="4"/>
  <c r="IH2" i="4"/>
  <c r="II2" i="4"/>
  <c r="IJ2" i="4"/>
  <c r="IK2" i="4"/>
  <c r="IL2" i="4"/>
  <c r="IM2" i="4"/>
  <c r="IN2" i="4"/>
  <c r="IO2" i="4"/>
  <c r="IP2" i="4"/>
  <c r="IQ2" i="4"/>
  <c r="IR2" i="4"/>
  <c r="IS2" i="4"/>
  <c r="IT2" i="4"/>
  <c r="IU2" i="4"/>
  <c r="IV2" i="4"/>
  <c r="A1" i="4"/>
  <c r="B1" i="4"/>
  <c r="C1" i="4"/>
  <c r="D1" i="4"/>
  <c r="E1" i="4"/>
  <c r="F1" i="4"/>
  <c r="G1" i="4"/>
  <c r="H1" i="4"/>
  <c r="I1" i="4"/>
  <c r="J1" i="4"/>
  <c r="K1" i="4"/>
  <c r="L1" i="4"/>
  <c r="M1" i="4"/>
  <c r="N1" i="4"/>
  <c r="O1" i="4"/>
  <c r="P1" i="4"/>
  <c r="Q1" i="4"/>
  <c r="R1" i="4"/>
  <c r="S1" i="4"/>
  <c r="T1" i="4"/>
  <c r="U1" i="4"/>
  <c r="V1" i="4"/>
  <c r="W1" i="4"/>
  <c r="X1" i="4"/>
  <c r="Y1" i="4"/>
  <c r="Z1" i="4"/>
  <c r="AA1" i="4"/>
  <c r="AB1" i="4"/>
  <c r="AC1" i="4"/>
  <c r="AD1" i="4"/>
  <c r="AE1" i="4"/>
  <c r="AF1" i="4"/>
  <c r="AG1" i="4"/>
  <c r="AH1" i="4"/>
  <c r="AI1" i="4"/>
  <c r="AJ1" i="4"/>
  <c r="AK1" i="4"/>
  <c r="AL1" i="4"/>
  <c r="AM1" i="4"/>
  <c r="AN1" i="4"/>
  <c r="AO1" i="4"/>
  <c r="AP1" i="4"/>
  <c r="AQ1" i="4"/>
  <c r="AR1" i="4"/>
  <c r="AS1" i="4"/>
  <c r="AT1" i="4"/>
  <c r="AU1" i="4"/>
  <c r="AV1" i="4"/>
  <c r="AW1" i="4"/>
  <c r="AX1" i="4"/>
  <c r="AY1" i="4"/>
  <c r="AZ1" i="4"/>
  <c r="BA1" i="4"/>
  <c r="BB1" i="4"/>
  <c r="BC1" i="4"/>
  <c r="BD1" i="4"/>
  <c r="BE1" i="4"/>
  <c r="BF1" i="4"/>
  <c r="BG1" i="4"/>
  <c r="BH1" i="4"/>
  <c r="BI1" i="4"/>
  <c r="BJ1" i="4"/>
  <c r="BK1" i="4"/>
  <c r="BL1" i="4"/>
  <c r="BM1" i="4"/>
  <c r="BN1" i="4"/>
  <c r="BO1" i="4"/>
  <c r="BP1" i="4"/>
  <c r="BQ1" i="4"/>
  <c r="BR1" i="4"/>
  <c r="BS1" i="4"/>
  <c r="BT1" i="4"/>
  <c r="BU1" i="4"/>
  <c r="BV1" i="4"/>
  <c r="BW1" i="4"/>
  <c r="BX1" i="4"/>
  <c r="BY1" i="4"/>
  <c r="BZ1" i="4"/>
  <c r="CA1" i="4"/>
  <c r="CB1" i="4"/>
  <c r="CC1" i="4"/>
  <c r="CD1" i="4"/>
  <c r="CE1" i="4"/>
  <c r="CF1" i="4"/>
  <c r="CG1" i="4"/>
  <c r="CH1" i="4"/>
  <c r="CI1" i="4"/>
  <c r="CJ1" i="4"/>
  <c r="CK1" i="4"/>
  <c r="CL1" i="4"/>
  <c r="CM1" i="4"/>
  <c r="CN1" i="4"/>
  <c r="CO1" i="4"/>
  <c r="CP1" i="4"/>
  <c r="CQ1" i="4"/>
  <c r="CR1" i="4"/>
  <c r="CS1" i="4"/>
  <c r="CT1" i="4"/>
  <c r="CU1" i="4"/>
  <c r="CV1" i="4"/>
  <c r="CW1" i="4"/>
  <c r="CX1" i="4"/>
  <c r="CY1" i="4"/>
  <c r="CZ1" i="4"/>
  <c r="DA1" i="4"/>
  <c r="DB1" i="4"/>
  <c r="DC1" i="4"/>
  <c r="DD1" i="4"/>
  <c r="DE1" i="4"/>
  <c r="DF1" i="4"/>
  <c r="DG1" i="4"/>
  <c r="DH1" i="4"/>
  <c r="DI1" i="4"/>
  <c r="DJ1" i="4"/>
  <c r="DK1" i="4"/>
  <c r="DL1" i="4"/>
  <c r="DM1" i="4"/>
  <c r="DN1" i="4"/>
  <c r="DO1" i="4"/>
  <c r="DP1" i="4"/>
  <c r="DQ1" i="4"/>
  <c r="DR1" i="4"/>
  <c r="DS1" i="4"/>
  <c r="DT1" i="4"/>
  <c r="DU1" i="4"/>
  <c r="DV1" i="4"/>
  <c r="DW1" i="4"/>
  <c r="DX1" i="4"/>
  <c r="DY1" i="4"/>
  <c r="DZ1" i="4"/>
  <c r="EA1" i="4"/>
  <c r="EB1" i="4"/>
  <c r="EC1" i="4"/>
  <c r="ED1" i="4"/>
  <c r="EE1" i="4"/>
  <c r="EF1" i="4"/>
  <c r="EG1" i="4"/>
  <c r="EH1" i="4"/>
  <c r="EI1" i="4"/>
  <c r="EJ1" i="4"/>
  <c r="EK1" i="4"/>
  <c r="EL1" i="4"/>
  <c r="EM1" i="4"/>
  <c r="EN1" i="4"/>
  <c r="EO1" i="4"/>
  <c r="EP1" i="4"/>
  <c r="EQ1" i="4"/>
  <c r="ER1" i="4"/>
  <c r="ES1" i="4"/>
  <c r="ET1" i="4"/>
  <c r="EU1" i="4"/>
  <c r="EV1" i="4"/>
  <c r="EW1" i="4"/>
  <c r="EX1" i="4"/>
  <c r="EY1" i="4"/>
  <c r="EZ1" i="4"/>
  <c r="FA1" i="4"/>
  <c r="FB1" i="4"/>
  <c r="FC1" i="4"/>
  <c r="FD1" i="4"/>
  <c r="FE1" i="4"/>
  <c r="FF1" i="4"/>
  <c r="FG1" i="4"/>
  <c r="FH1" i="4"/>
  <c r="FI1" i="4"/>
  <c r="FJ1" i="4"/>
  <c r="FK1" i="4"/>
  <c r="FL1" i="4"/>
  <c r="FM1" i="4"/>
  <c r="FN1" i="4"/>
  <c r="FO1" i="4"/>
  <c r="FP1" i="4"/>
  <c r="FQ1" i="4"/>
  <c r="FR1" i="4"/>
  <c r="FS1" i="4"/>
  <c r="FT1" i="4"/>
  <c r="FU1" i="4"/>
  <c r="FV1" i="4"/>
  <c r="FW1" i="4"/>
  <c r="FX1" i="4"/>
  <c r="FY1" i="4"/>
  <c r="FZ1" i="4"/>
  <c r="GA1" i="4"/>
  <c r="GB1" i="4"/>
  <c r="GC1" i="4"/>
  <c r="GD1" i="4"/>
  <c r="GE1" i="4"/>
  <c r="GF1" i="4"/>
  <c r="GG1" i="4"/>
  <c r="GH1" i="4"/>
  <c r="GI1" i="4"/>
  <c r="GJ1" i="4"/>
  <c r="GK1" i="4"/>
  <c r="GL1" i="4"/>
  <c r="GM1" i="4"/>
  <c r="GN1" i="4"/>
  <c r="GO1" i="4"/>
  <c r="GP1" i="4"/>
  <c r="GQ1" i="4"/>
  <c r="GR1" i="4"/>
  <c r="GS1" i="4"/>
  <c r="GT1" i="4"/>
  <c r="GU1" i="4"/>
  <c r="GV1" i="4"/>
  <c r="GW1" i="4"/>
  <c r="GX1" i="4"/>
  <c r="GY1" i="4"/>
  <c r="GZ1" i="4"/>
  <c r="HA1" i="4"/>
  <c r="HB1" i="4"/>
  <c r="HC1" i="4"/>
  <c r="HD1" i="4"/>
  <c r="HE1" i="4"/>
  <c r="HF1" i="4"/>
  <c r="HG1" i="4"/>
  <c r="HH1" i="4"/>
  <c r="HI1" i="4"/>
  <c r="HJ1" i="4"/>
  <c r="HK1" i="4"/>
  <c r="HL1" i="4"/>
  <c r="HM1" i="4"/>
  <c r="HN1" i="4"/>
  <c r="HO1" i="4"/>
  <c r="HP1" i="4"/>
  <c r="HQ1" i="4"/>
  <c r="HR1" i="4"/>
  <c r="HS1" i="4"/>
  <c r="HT1" i="4"/>
  <c r="HU1" i="4"/>
  <c r="HV1" i="4"/>
  <c r="HW1" i="4"/>
  <c r="HX1" i="4"/>
  <c r="HY1" i="4"/>
  <c r="HZ1" i="4"/>
  <c r="IA1" i="4"/>
  <c r="IB1" i="4"/>
  <c r="IC1" i="4"/>
  <c r="ID1" i="4"/>
  <c r="IE1" i="4"/>
  <c r="IF1" i="4"/>
  <c r="IG1" i="4"/>
  <c r="IH1" i="4"/>
  <c r="II1" i="4"/>
  <c r="IJ1" i="4"/>
  <c r="IK1" i="4"/>
  <c r="IL1" i="4"/>
  <c r="IM1" i="4"/>
  <c r="IN1" i="4"/>
  <c r="IO1" i="4"/>
  <c r="IP1" i="4"/>
  <c r="IQ1" i="4"/>
  <c r="IR1" i="4"/>
  <c r="IS1" i="4"/>
  <c r="IT1" i="4"/>
  <c r="IU1" i="4"/>
  <c r="IV1" i="4"/>
  <c r="M9" i="1"/>
</calcChain>
</file>

<file path=xl/sharedStrings.xml><?xml version="1.0" encoding="utf-8"?>
<sst xmlns="http://schemas.openxmlformats.org/spreadsheetml/2006/main" count="63" uniqueCount="56">
  <si>
    <t>Nr.p.k.</t>
  </si>
  <si>
    <t>C daļa</t>
  </si>
  <si>
    <t>situācijas plāns</t>
  </si>
  <si>
    <t>apgrūtinājuma plāns</t>
  </si>
  <si>
    <t>informācija par apgrūtinājumiem (plāns)</t>
  </si>
  <si>
    <t>robežas apsekošanas akts</t>
  </si>
  <si>
    <t>zemes vienības daļas robežas akts</t>
  </si>
  <si>
    <t>robežas neatbilstības novēršanas akts</t>
  </si>
  <si>
    <t>platību neatbilstības akts</t>
  </si>
  <si>
    <t>robežzīmes likvidēšanas akts</t>
  </si>
  <si>
    <t>slēdziens par iebildumu pamatotību un darbu turpināšanu</t>
  </si>
  <si>
    <t>atzinums par robežas neatbilstību</t>
  </si>
  <si>
    <t>informācija par Kadastra informācijas sistēmā reģistrētām, bet apvidū neesošām būvēm</t>
  </si>
  <si>
    <t>Atbilst/neatbilst</t>
  </si>
  <si>
    <t>Klientu apkalpošanas konsultants</t>
  </si>
  <si>
    <t>(vārds, uzvārds)</t>
  </si>
  <si>
    <t>X</t>
  </si>
  <si>
    <t>/</t>
  </si>
  <si>
    <t>(paraksts)</t>
  </si>
  <si>
    <t>robežas noteikšanas akts</t>
  </si>
  <si>
    <t>akts par konstatēto robežu neatbilstību</t>
  </si>
  <si>
    <t>Valsts zemes dienesta atzīme par dokumentu saņemšanu</t>
  </si>
  <si>
    <t>Iesniedza:</t>
  </si>
  <si>
    <t>Pavadzīme Nr.</t>
  </si>
  <si>
    <t>Datu aktualizācijai</t>
  </si>
  <si>
    <t>Sadalei</t>
  </si>
  <si>
    <t>Konsolidācijai</t>
  </si>
  <si>
    <t>Robežu regulēšanai</t>
  </si>
  <si>
    <t>Kamerāli pārzīmējot</t>
  </si>
  <si>
    <t>Apvienošanai</t>
  </si>
  <si>
    <t>Pārkārtošanai</t>
  </si>
  <si>
    <t>Būves instrumentālai uzmērīšanai</t>
  </si>
  <si>
    <t>Zemes vienības daļas noteikšanai</t>
  </si>
  <si>
    <t>Zemes vienības datu aktualizācijai</t>
  </si>
  <si>
    <t>Kadastrālā uzmērīšana veikta</t>
  </si>
  <si>
    <t>Objekta kadastrālās uzmērīšanas dokumenti</t>
  </si>
  <si>
    <t>Kadastra apzīmējums</t>
  </si>
  <si>
    <t>Ierosinātāja iesniegums</t>
  </si>
  <si>
    <t>kamerāli sagatavots apvienotais plāns</t>
  </si>
  <si>
    <t>valsts institūcijas vai pašvaldības lēmums par nekustamā īpašuma vai zemes vienības daļas lietošanas mērķa un tam piekrītošās zemes platības noteikšanu</t>
  </si>
  <si>
    <t>pašvaldības izdots dokuments, kas apliecina būves neesību dabā</t>
  </si>
  <si>
    <t>Zemes vienības pirmreizējai uzmērīšanai</t>
  </si>
  <si>
    <t>Apsekošanai-atjaunošanai, bez datu aktualizācijas</t>
  </si>
  <si>
    <t>(PAIS Nr.)</t>
  </si>
  <si>
    <t>Z_ZKUL_</t>
  </si>
  <si>
    <t>Z_ZVD_ZKUL_</t>
  </si>
  <si>
    <t>Z_BKUL_</t>
  </si>
  <si>
    <t>AAAAAC3ev9Y=</t>
  </si>
  <si>
    <t>AAAAAC3ev9c=</t>
  </si>
  <si>
    <t>AAAAAC3ev9g=</t>
  </si>
  <si>
    <t>zemes/zemes vienības daļas robežu plāns</t>
  </si>
  <si>
    <t>robežas atjaunošanas akts</t>
  </si>
  <si>
    <t xml:space="preserve">un tai pievienoti dokumenti elektroniskā formā. Pasūtījuma reģistrācijas Nr. </t>
  </si>
  <si>
    <t>Saskaņā ar Ministru kabineta 2012.gada 10. aprīļa noteikumu Nr.263 „Kadastra objekta reģistrācijas un kadastra datu aktualizācijas noteikumi” 15., 23. punktiem  un Ministru kabineta 2011.gada 27.decembra noteikumu Nr.1019 “Zemes kadastrālās uzmērīšanas noteikumi”  211.,251., 264. punktiem, elektroniskajai zemes kadastrālās uzmērīšanas lietai pievienoju šādus dokumentu oriģinālus:</t>
  </si>
  <si>
    <t>D daļa</t>
  </si>
  <si>
    <t xml:space="preserve">Apliecinu, ka Valsts zemes dienesta datu publicēšanas portālā kadastrs.lv ir iesniegta zemes kadastrālās uzmērīšanas lieta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</si>
</sst>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x"/>
  </numFmts>
  <fonts count="25" x14ac:knownFonts="1">
    <font>
      <sz val="11"/>
      <color theme="1"/>
      <name val="Calibri"/>
      <family val="2"/>
      <charset val="186"/>
      <scheme val="minor"/>
    </font>
    <font>
      <sz val="11"/>
      <name val="Georgia"/>
      <family val="1"/>
      <charset val="186"/>
    </font>
    <font>
      <sz val="12"/>
      <name val="Georgia"/>
      <family val="1"/>
      <charset val="186"/>
    </font>
    <font>
      <vertAlign val="superscript"/>
      <sz val="11"/>
      <name val="Georgia"/>
      <family val="1"/>
      <charset val="186"/>
    </font>
    <font>
      <vertAlign val="superscript"/>
      <sz val="12"/>
      <name val="Georgia"/>
      <family val="1"/>
      <charset val="186"/>
    </font>
    <font>
      <b/>
      <sz val="14"/>
      <name val="Georgia"/>
      <family val="1"/>
      <charset val="186"/>
    </font>
    <font>
      <b/>
      <sz val="11.5"/>
      <name val="Georgia"/>
      <family val="1"/>
      <charset val="186"/>
    </font>
    <font>
      <b/>
      <sz val="11"/>
      <name val="Georgia"/>
      <family val="1"/>
      <charset val="186"/>
    </font>
    <font>
      <sz val="11.5"/>
      <name val="Georgia"/>
      <family val="1"/>
      <charset val="186"/>
    </font>
    <font>
      <b/>
      <sz val="12"/>
      <name val="Georgia"/>
      <family val="1"/>
      <charset val="186"/>
    </font>
    <font>
      <sz val="11"/>
      <color theme="1"/>
      <name val="Calibri"/>
      <family val="2"/>
      <charset val="186"/>
      <scheme val="minor"/>
    </font>
    <font>
      <u/>
      <sz val="11"/>
      <color theme="10"/>
      <name val="Calibri"/>
      <family val="2"/>
      <charset val="186"/>
    </font>
    <font>
      <b/>
      <sz val="11"/>
      <color theme="1"/>
      <name val="Calibri"/>
      <family val="2"/>
      <charset val="186"/>
      <scheme val="minor"/>
    </font>
    <font>
      <sz val="11"/>
      <color theme="1"/>
      <name val="Georgia"/>
      <family val="1"/>
      <charset val="186"/>
    </font>
    <font>
      <sz val="10"/>
      <color theme="1"/>
      <name val="Georgia"/>
      <family val="1"/>
      <charset val="186"/>
    </font>
    <font>
      <b/>
      <sz val="14"/>
      <color theme="1"/>
      <name val="Georgia"/>
      <family val="1"/>
      <charset val="186"/>
    </font>
    <font>
      <b/>
      <sz val="12"/>
      <color theme="1"/>
      <name val="Calibri"/>
      <family val="2"/>
      <charset val="186"/>
      <scheme val="minor"/>
    </font>
    <font>
      <b/>
      <sz val="12"/>
      <color theme="1"/>
      <name val="Georgia"/>
      <family val="1"/>
      <charset val="186"/>
    </font>
    <font>
      <b/>
      <sz val="11"/>
      <color theme="1"/>
      <name val="Georgia"/>
      <family val="1"/>
      <charset val="186"/>
    </font>
    <font>
      <sz val="12"/>
      <color theme="1"/>
      <name val="Calibri"/>
      <family val="2"/>
      <charset val="186"/>
      <scheme val="minor"/>
    </font>
    <font>
      <sz val="12"/>
      <color theme="1"/>
      <name val="Georgia"/>
      <family val="1"/>
      <charset val="186"/>
    </font>
    <font>
      <vertAlign val="superscript"/>
      <sz val="11"/>
      <color theme="1"/>
      <name val="Calibri"/>
      <family val="2"/>
      <charset val="186"/>
      <scheme val="minor"/>
    </font>
    <font>
      <b/>
      <sz val="10"/>
      <color theme="1"/>
      <name val="Georgia"/>
      <family val="1"/>
      <charset val="186"/>
    </font>
    <font>
      <vertAlign val="superscript"/>
      <sz val="11"/>
      <color theme="1"/>
      <name val="Georgia"/>
      <family val="1"/>
      <charset val="186"/>
    </font>
    <font>
      <sz val="11"/>
      <name val="Calibri"/>
      <family val="2"/>
      <charset val="186"/>
      <scheme val="minor"/>
    </font>
  </fonts>
  <fills count="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0.14999847407452621"/>
        <bgColor indexed="64"/>
      </patternFill>
    </fill>
  </fills>
  <borders count="5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1" fillId="0" borderId="0" applyNumberFormat="0" applyFill="0" applyBorder="0" applyAlignment="0" applyProtection="0">
      <alignment vertical="top"/>
      <protection locked="0"/>
    </xf>
    <xf numFmtId="43" fontId="10" fillId="0" borderId="0" applyFont="0" applyFill="0" applyBorder="0" applyAlignment="0" applyProtection="0"/>
  </cellStyleXfs>
  <cellXfs count="182">
    <xf numFmtId="0" fontId="0" fillId="0" borderId="0" xfId="0"/>
    <xf numFmtId="0" fontId="2" fillId="0" borderId="0" xfId="0" applyFont="1" applyFill="1"/>
    <xf numFmtId="0" fontId="2" fillId="0" borderId="0" xfId="0" applyFont="1" applyFill="1" applyBorder="1"/>
    <xf numFmtId="0" fontId="8"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13" fillId="0" borderId="1" xfId="0" applyFont="1" applyFill="1" applyBorder="1" applyAlignment="1"/>
    <xf numFmtId="0" fontId="13" fillId="0" borderId="2" xfId="0" applyFont="1" applyFill="1" applyBorder="1" applyAlignment="1"/>
    <xf numFmtId="0" fontId="13" fillId="0" borderId="3" xfId="0" applyFont="1" applyFill="1" applyBorder="1" applyAlignment="1"/>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3" fillId="0" borderId="7" xfId="0" applyFont="1" applyFill="1" applyBorder="1" applyAlignment="1"/>
    <xf numFmtId="0" fontId="2" fillId="2" borderId="0" xfId="0" applyFont="1" applyFill="1"/>
    <xf numFmtId="0" fontId="13" fillId="2" borderId="0" xfId="0" applyFont="1" applyFill="1" applyAlignment="1"/>
    <xf numFmtId="0" fontId="2" fillId="2" borderId="0" xfId="0" applyFont="1" applyFill="1" applyAlignment="1">
      <alignment textRotation="90"/>
    </xf>
    <xf numFmtId="0" fontId="2" fillId="2" borderId="0" xfId="0" applyFont="1" applyFill="1" applyAlignment="1">
      <alignment horizontal="center" vertical="center" wrapText="1"/>
    </xf>
    <xf numFmtId="0" fontId="2" fillId="2" borderId="0" xfId="0" applyFont="1" applyFill="1" applyBorder="1"/>
    <xf numFmtId="0" fontId="2" fillId="2" borderId="0" xfId="0" applyFont="1" applyFill="1" applyBorder="1" applyAlignment="1">
      <alignment horizontal="center" vertical="center" wrapText="1"/>
    </xf>
    <xf numFmtId="0" fontId="5" fillId="2" borderId="0" xfId="0" applyFont="1" applyFill="1" applyAlignment="1">
      <alignment horizontal="center"/>
    </xf>
    <xf numFmtId="0" fontId="8"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xf>
    <xf numFmtId="0" fontId="8" fillId="3" borderId="8" xfId="0" applyNumberFormat="1" applyFont="1" applyFill="1" applyBorder="1" applyAlignment="1" applyProtection="1">
      <alignment horizontal="center" vertical="center" wrapText="1"/>
      <protection locked="0"/>
    </xf>
    <xf numFmtId="0" fontId="8" fillId="3" borderId="9" xfId="0" applyNumberFormat="1" applyFont="1" applyFill="1" applyBorder="1" applyAlignment="1" applyProtection="1">
      <alignment horizontal="center" vertical="center" wrapText="1"/>
      <protection locked="0"/>
    </xf>
    <xf numFmtId="0" fontId="8" fillId="3" borderId="11" xfId="0" applyNumberFormat="1" applyFont="1" applyFill="1" applyBorder="1" applyAlignment="1" applyProtection="1">
      <alignment horizontal="center" vertical="center" wrapText="1"/>
      <protection locked="0"/>
    </xf>
    <xf numFmtId="0" fontId="8" fillId="3" borderId="12" xfId="0" applyNumberFormat="1" applyFont="1" applyFill="1" applyBorder="1" applyAlignment="1" applyProtection="1">
      <alignment horizontal="center" vertical="center" wrapText="1"/>
      <protection locked="0"/>
    </xf>
    <xf numFmtId="0" fontId="8" fillId="3" borderId="13" xfId="0" applyNumberFormat="1" applyFont="1" applyFill="1" applyBorder="1" applyAlignment="1" applyProtection="1">
      <alignment horizontal="center" vertical="center" wrapText="1"/>
      <protection locked="0"/>
    </xf>
    <xf numFmtId="0" fontId="8" fillId="3" borderId="14" xfId="0" applyNumberFormat="1" applyFont="1" applyFill="1" applyBorder="1" applyAlignment="1" applyProtection="1">
      <alignment horizontal="center" vertical="center" wrapText="1"/>
      <protection locked="0"/>
    </xf>
    <xf numFmtId="164" fontId="8" fillId="4" borderId="13" xfId="0" applyNumberFormat="1" applyFont="1" applyFill="1" applyBorder="1" applyAlignment="1" applyProtection="1">
      <alignment horizontal="center" vertical="center" wrapText="1"/>
      <protection locked="0"/>
    </xf>
    <xf numFmtId="164" fontId="8" fillId="4" borderId="15" xfId="0" applyNumberFormat="1" applyFont="1" applyFill="1" applyBorder="1" applyAlignment="1" applyProtection="1">
      <alignment horizontal="center" vertical="center" wrapText="1"/>
      <protection locked="0"/>
    </xf>
    <xf numFmtId="0" fontId="8" fillId="3" borderId="16" xfId="0" applyNumberFormat="1" applyFont="1" applyFill="1" applyBorder="1" applyAlignment="1" applyProtection="1">
      <alignment horizontal="center" vertical="center" wrapText="1"/>
      <protection locked="0"/>
    </xf>
    <xf numFmtId="0" fontId="8" fillId="3" borderId="17" xfId="0" applyNumberFormat="1" applyFont="1" applyFill="1" applyBorder="1" applyAlignment="1" applyProtection="1">
      <alignment horizontal="center" vertical="center" wrapText="1"/>
      <protection locked="0"/>
    </xf>
    <xf numFmtId="0" fontId="8" fillId="3" borderId="19" xfId="0" applyNumberFormat="1" applyFont="1" applyFill="1" applyBorder="1" applyAlignment="1" applyProtection="1">
      <alignment horizontal="center" vertical="center" wrapText="1"/>
      <protection locked="0"/>
    </xf>
    <xf numFmtId="0" fontId="13" fillId="2" borderId="0" xfId="0" applyFont="1" applyFill="1" applyAlignment="1"/>
    <xf numFmtId="0" fontId="3"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0" xfId="0" applyFill="1" applyAlignment="1">
      <alignment vertical="center"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64" fontId="8" fillId="4" borderId="20" xfId="0" applyNumberFormat="1" applyFont="1" applyFill="1" applyBorder="1" applyAlignment="1" applyProtection="1">
      <alignment horizontal="center" vertical="center" wrapText="1"/>
      <protection locked="0"/>
    </xf>
    <xf numFmtId="164" fontId="8" fillId="4" borderId="21" xfId="0" applyNumberFormat="1" applyFont="1" applyFill="1" applyBorder="1" applyAlignment="1" applyProtection="1">
      <alignment horizontal="center" vertical="center" wrapText="1"/>
      <protection locked="0"/>
    </xf>
    <xf numFmtId="164" fontId="8" fillId="4" borderId="22" xfId="0" applyNumberFormat="1" applyFont="1" applyFill="1" applyBorder="1" applyAlignment="1" applyProtection="1">
      <alignment horizontal="center" vertical="center" wrapText="1"/>
      <protection locked="0"/>
    </xf>
    <xf numFmtId="164" fontId="8" fillId="4" borderId="23" xfId="0" applyNumberFormat="1" applyFont="1" applyFill="1" applyBorder="1" applyAlignment="1" applyProtection="1">
      <alignment horizontal="center" vertical="center" wrapText="1"/>
      <protection locked="0"/>
    </xf>
    <xf numFmtId="0" fontId="2" fillId="0" borderId="2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2" borderId="0" xfId="0" applyFill="1" applyAlignment="1"/>
    <xf numFmtId="43" fontId="10" fillId="0" borderId="0" xfId="2" applyFont="1"/>
    <xf numFmtId="0" fontId="11" fillId="0" borderId="0" xfId="1" applyAlignment="1" applyProtection="1"/>
    <xf numFmtId="0" fontId="9" fillId="2" borderId="0" xfId="0" applyFont="1" applyFill="1" applyBorder="1" applyAlignment="1">
      <alignment horizontal="left" vertical="center"/>
    </xf>
    <xf numFmtId="0" fontId="13" fillId="2" borderId="0" xfId="0" applyFont="1" applyFill="1" applyBorder="1" applyAlignment="1"/>
    <xf numFmtId="0" fontId="14" fillId="2" borderId="0" xfId="0" applyFont="1" applyFill="1" applyAlignment="1"/>
    <xf numFmtId="0" fontId="7"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xf numFmtId="0" fontId="0" fillId="2" borderId="0" xfId="0" applyFill="1" applyBorder="1" applyAlignment="1"/>
    <xf numFmtId="0" fontId="0" fillId="2" borderId="0" xfId="0" applyFill="1" applyAlignment="1">
      <alignment horizontal="center"/>
    </xf>
    <xf numFmtId="0" fontId="9" fillId="2" borderId="0" xfId="0" applyFont="1" applyFill="1" applyAlignment="1"/>
    <xf numFmtId="0" fontId="12" fillId="2" borderId="0" xfId="0" applyFont="1" applyFill="1" applyAlignment="1"/>
    <xf numFmtId="0" fontId="2" fillId="2" borderId="0" xfId="0" applyFont="1" applyFill="1" applyBorder="1" applyAlignment="1">
      <alignment textRotation="90"/>
    </xf>
    <xf numFmtId="0" fontId="0" fillId="2" borderId="0" xfId="0" applyFill="1" applyBorder="1" applyAlignment="1" applyProtection="1">
      <protection locked="0"/>
    </xf>
    <xf numFmtId="0" fontId="15" fillId="2" borderId="0" xfId="0" applyFont="1" applyFill="1" applyAlignment="1" applyProtection="1"/>
    <xf numFmtId="0" fontId="0" fillId="2" borderId="0" xfId="0" applyFill="1" applyAlignment="1" applyProtection="1"/>
    <xf numFmtId="0" fontId="16" fillId="2" borderId="0" xfId="0" applyFont="1" applyFill="1" applyBorder="1" applyAlignment="1" applyProtection="1">
      <protection locked="0"/>
    </xf>
    <xf numFmtId="49" fontId="15" fillId="2" borderId="0" xfId="0" applyNumberFormat="1" applyFont="1" applyFill="1" applyBorder="1" applyAlignment="1" applyProtection="1">
      <alignment horizontal="center" vertical="center" wrapText="1"/>
      <protection locked="0"/>
    </xf>
    <xf numFmtId="0" fontId="17" fillId="2" borderId="0" xfId="0" applyFont="1" applyFill="1" applyBorder="1" applyAlignment="1">
      <alignment horizontal="center" vertical="center" wrapText="1"/>
    </xf>
    <xf numFmtId="0" fontId="7" fillId="2" borderId="0" xfId="0" applyFont="1" applyFill="1"/>
    <xf numFmtId="0" fontId="18" fillId="2" borderId="0" xfId="0" applyFont="1" applyFill="1" applyAlignment="1"/>
    <xf numFmtId="0" fontId="2" fillId="2" borderId="0" xfId="0" applyFont="1" applyFill="1" applyAlignment="1">
      <alignment horizontal="left" vertical="center"/>
    </xf>
    <xf numFmtId="0" fontId="20" fillId="2" borderId="0" xfId="0" applyFont="1" applyFill="1" applyBorder="1" applyAlignment="1">
      <alignment horizontal="left"/>
    </xf>
    <xf numFmtId="0" fontId="20" fillId="2" borderId="0" xfId="0" applyFont="1" applyFill="1" applyBorder="1" applyAlignment="1"/>
    <xf numFmtId="49" fontId="8" fillId="0" borderId="43" xfId="0" applyNumberFormat="1" applyFont="1" applyFill="1" applyBorder="1" applyAlignment="1" applyProtection="1">
      <alignment horizontal="center" vertical="center" wrapText="1"/>
      <protection locked="0"/>
    </xf>
    <xf numFmtId="49" fontId="13" fillId="0" borderId="14" xfId="0" applyNumberFormat="1" applyFont="1" applyFill="1" applyBorder="1" applyAlignment="1" applyProtection="1">
      <alignment horizontal="center" vertical="center" wrapText="1"/>
      <protection locked="0"/>
    </xf>
    <xf numFmtId="0" fontId="13" fillId="2" borderId="0" xfId="0" applyFont="1" applyFill="1" applyAlignment="1"/>
    <xf numFmtId="0" fontId="2" fillId="2" borderId="0" xfId="0" applyFont="1" applyFill="1" applyBorder="1" applyProtection="1">
      <protection locked="0"/>
    </xf>
    <xf numFmtId="0" fontId="0" fillId="2" borderId="0" xfId="0" applyFont="1" applyFill="1" applyAlignment="1"/>
    <xf numFmtId="0" fontId="7" fillId="2" borderId="51" xfId="0" applyFont="1" applyFill="1" applyBorder="1"/>
    <xf numFmtId="0" fontId="13" fillId="2" borderId="51" xfId="0" applyFont="1" applyFill="1" applyBorder="1" applyAlignment="1"/>
    <xf numFmtId="0" fontId="13" fillId="2" borderId="52" xfId="0" applyFont="1" applyFill="1" applyBorder="1" applyAlignment="1"/>
    <xf numFmtId="0" fontId="2" fillId="2" borderId="31" xfId="0" applyFont="1" applyFill="1" applyBorder="1" applyAlignment="1">
      <alignment textRotation="90"/>
    </xf>
    <xf numFmtId="0" fontId="2" fillId="2" borderId="31" xfId="0" applyFont="1" applyFill="1" applyBorder="1"/>
    <xf numFmtId="0" fontId="14" fillId="2" borderId="50" xfId="0" applyFont="1" applyFill="1" applyBorder="1" applyAlignment="1"/>
    <xf numFmtId="0" fontId="14" fillId="2" borderId="38" xfId="0" applyFont="1" applyFill="1" applyBorder="1" applyAlignment="1"/>
    <xf numFmtId="0" fontId="2" fillId="2" borderId="0" xfId="0" applyFont="1" applyFill="1" applyBorder="1" applyAlignment="1" applyProtection="1">
      <alignment horizontal="center"/>
      <protection locked="0"/>
    </xf>
    <xf numFmtId="0" fontId="14" fillId="2" borderId="0" xfId="0" applyFont="1" applyFill="1" applyBorder="1" applyAlignment="1"/>
    <xf numFmtId="0" fontId="21" fillId="2" borderId="31" xfId="0" applyFont="1" applyFill="1" applyBorder="1" applyAlignment="1">
      <alignment horizontal="center"/>
    </xf>
    <xf numFmtId="0" fontId="2" fillId="2" borderId="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13" fillId="2" borderId="0" xfId="0" applyFont="1" applyFill="1" applyBorder="1" applyAlignment="1"/>
    <xf numFmtId="0" fontId="23" fillId="2" borderId="38" xfId="0" applyFont="1" applyFill="1" applyBorder="1" applyAlignment="1">
      <alignment horizontal="center"/>
    </xf>
    <xf numFmtId="0" fontId="23" fillId="2" borderId="53" xfId="0" applyFont="1" applyFill="1" applyBorder="1" applyAlignment="1">
      <alignment horizontal="center"/>
    </xf>
    <xf numFmtId="0" fontId="2" fillId="2" borderId="54" xfId="0" applyFont="1" applyFill="1" applyBorder="1" applyAlignment="1">
      <alignment horizontal="center" vertical="center" wrapText="1"/>
    </xf>
    <xf numFmtId="0" fontId="20" fillId="2" borderId="54" xfId="0" applyFont="1" applyFill="1" applyBorder="1" applyAlignment="1"/>
    <xf numFmtId="0" fontId="20" fillId="2" borderId="54" xfId="0" applyFont="1" applyFill="1" applyBorder="1" applyAlignment="1">
      <alignment horizontal="left"/>
    </xf>
    <xf numFmtId="0" fontId="2" fillId="2" borderId="55" xfId="0" applyFont="1" applyFill="1" applyBorder="1" applyAlignment="1">
      <alignment horizontal="center" vertical="center" wrapText="1"/>
    </xf>
    <xf numFmtId="0" fontId="13" fillId="2" borderId="0" xfId="0" applyFont="1" applyFill="1" applyBorder="1" applyAlignment="1" applyProtection="1">
      <protection locked="0"/>
    </xf>
    <xf numFmtId="0" fontId="0" fillId="0" borderId="0" xfId="0" applyBorder="1" applyAlignment="1" applyProtection="1">
      <protection locked="0"/>
    </xf>
    <xf numFmtId="0" fontId="0" fillId="0" borderId="31" xfId="0" applyBorder="1" applyAlignment="1" applyProtection="1">
      <protection locked="0"/>
    </xf>
    <xf numFmtId="0" fontId="7" fillId="3" borderId="9" xfId="0" applyNumberFormat="1" applyFont="1" applyFill="1" applyBorder="1" applyAlignment="1">
      <alignment horizontal="center" vertical="center" textRotation="90" wrapText="1"/>
    </xf>
    <xf numFmtId="0" fontId="1" fillId="3" borderId="17" xfId="0" applyNumberFormat="1" applyFont="1" applyFill="1" applyBorder="1" applyAlignment="1">
      <alignment horizontal="center" vertical="center" textRotation="90" wrapText="1"/>
    </xf>
    <xf numFmtId="0" fontId="20" fillId="0" borderId="31" xfId="0" applyFont="1" applyBorder="1" applyAlignment="1" applyProtection="1">
      <alignment horizontal="left"/>
      <protection locked="0"/>
    </xf>
    <xf numFmtId="43" fontId="17" fillId="5" borderId="33" xfId="2" applyFont="1" applyFill="1" applyBorder="1" applyAlignment="1" applyProtection="1">
      <alignment horizontal="center" vertical="center" textRotation="90" wrapText="1"/>
      <protection locked="0"/>
    </xf>
    <xf numFmtId="43" fontId="19" fillId="0" borderId="34" xfId="2" applyFont="1" applyBorder="1" applyAlignment="1" applyProtection="1">
      <alignment horizontal="center" vertical="center" textRotation="90" wrapText="1"/>
      <protection locked="0"/>
    </xf>
    <xf numFmtId="43" fontId="19" fillId="0" borderId="45" xfId="2" applyFont="1" applyBorder="1" applyAlignment="1" applyProtection="1">
      <alignment horizontal="center" vertical="center" textRotation="90" wrapText="1"/>
      <protection locked="0"/>
    </xf>
    <xf numFmtId="0" fontId="7" fillId="5" borderId="33" xfId="0" applyNumberFormat="1" applyFont="1" applyFill="1" applyBorder="1" applyAlignment="1">
      <alignment horizontal="center" vertical="center" textRotation="90" wrapText="1"/>
    </xf>
    <xf numFmtId="0" fontId="0" fillId="0" borderId="34" xfId="0" applyFont="1" applyBorder="1" applyAlignment="1">
      <alignment horizontal="center" vertical="center" textRotation="90" wrapText="1"/>
    </xf>
    <xf numFmtId="0" fontId="0" fillId="0" borderId="45" xfId="0" applyFont="1" applyBorder="1" applyAlignment="1">
      <alignment horizontal="center" vertical="center" textRotation="90" wrapText="1"/>
    </xf>
    <xf numFmtId="0" fontId="7" fillId="3" borderId="39" xfId="0" applyNumberFormat="1" applyFont="1" applyFill="1" applyBorder="1" applyAlignment="1">
      <alignment horizontal="center" vertical="center" textRotation="90" wrapText="1"/>
    </xf>
    <xf numFmtId="0" fontId="24" fillId="0" borderId="40" xfId="0" applyFont="1" applyBorder="1" applyAlignment="1">
      <alignment horizontal="center" vertical="center" textRotation="90" wrapText="1"/>
    </xf>
    <xf numFmtId="0" fontId="13" fillId="5" borderId="34" xfId="0" applyFont="1" applyFill="1" applyBorder="1" applyAlignment="1">
      <alignment horizontal="center" vertical="center" textRotation="90" wrapText="1"/>
    </xf>
    <xf numFmtId="0" fontId="13" fillId="5" borderId="45" xfId="0" applyFont="1" applyFill="1" applyBorder="1" applyAlignment="1">
      <alignment horizontal="center" vertical="center" textRotation="90" wrapText="1"/>
    </xf>
    <xf numFmtId="49" fontId="8" fillId="0" borderId="43" xfId="0" applyNumberFormat="1" applyFont="1" applyFill="1" applyBorder="1" applyAlignment="1" applyProtection="1">
      <alignment horizontal="center" vertical="center" wrapText="1"/>
      <protection locked="0"/>
    </xf>
    <xf numFmtId="49" fontId="13" fillId="0" borderId="14" xfId="0" applyNumberFormat="1" applyFont="1" applyFill="1" applyBorder="1" applyAlignment="1" applyProtection="1">
      <alignment horizontal="center" vertical="center" wrapText="1"/>
      <protection locked="0"/>
    </xf>
    <xf numFmtId="0" fontId="15" fillId="5" borderId="34" xfId="0" applyFont="1" applyFill="1" applyBorder="1" applyAlignment="1" applyProtection="1">
      <alignment horizontal="center" vertical="center" wrapText="1"/>
      <protection locked="0"/>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24"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textRotation="90" wrapText="1"/>
    </xf>
    <xf numFmtId="0" fontId="2" fillId="2" borderId="0" xfId="0" applyFont="1" applyFill="1" applyBorder="1" applyAlignment="1">
      <alignment horizontal="center" vertical="center" wrapText="1"/>
    </xf>
    <xf numFmtId="0" fontId="7" fillId="3" borderId="8" xfId="0" applyNumberFormat="1" applyFont="1" applyFill="1" applyBorder="1" applyAlignment="1">
      <alignment horizontal="center" vertical="center" textRotation="90" wrapText="1"/>
    </xf>
    <xf numFmtId="0" fontId="7" fillId="3" borderId="16" xfId="0" applyNumberFormat="1" applyFont="1" applyFill="1" applyBorder="1" applyAlignment="1">
      <alignment horizontal="center" vertical="center" textRotation="90" wrapText="1"/>
    </xf>
    <xf numFmtId="0" fontId="7" fillId="4" borderId="46" xfId="0" applyNumberFormat="1" applyFont="1" applyFill="1" applyBorder="1" applyAlignment="1">
      <alignment horizontal="center" vertical="center" textRotation="90" wrapText="1"/>
    </xf>
    <xf numFmtId="0" fontId="7" fillId="4" borderId="47" xfId="0" applyNumberFormat="1" applyFont="1" applyFill="1" applyBorder="1" applyAlignment="1">
      <alignment horizontal="center" vertical="center" textRotation="90" wrapText="1"/>
    </xf>
    <xf numFmtId="49" fontId="8" fillId="0" borderId="42" xfId="0" applyNumberFormat="1" applyFont="1" applyFill="1" applyBorder="1" applyAlignment="1" applyProtection="1">
      <alignment horizontal="center" vertical="center" wrapText="1"/>
      <protection locked="0"/>
    </xf>
    <xf numFmtId="49" fontId="13" fillId="0" borderId="38" xfId="0" applyNumberFormat="1" applyFont="1" applyFill="1" applyBorder="1" applyAlignment="1" applyProtection="1">
      <alignment horizontal="center" vertical="center" wrapText="1"/>
      <protection locked="0"/>
    </xf>
    <xf numFmtId="49" fontId="8" fillId="0" borderId="44" xfId="0" applyNumberFormat="1" applyFont="1" applyFill="1" applyBorder="1" applyAlignment="1" applyProtection="1">
      <alignment horizontal="center" vertical="center" wrapText="1"/>
      <protection locked="0"/>
    </xf>
    <xf numFmtId="49" fontId="13" fillId="0" borderId="11" xfId="0" applyNumberFormat="1" applyFont="1" applyFill="1" applyBorder="1" applyAlignment="1" applyProtection="1">
      <alignment horizontal="center" vertical="center" wrapText="1"/>
      <protection locked="0"/>
    </xf>
    <xf numFmtId="0" fontId="2" fillId="2" borderId="0" xfId="0" applyFont="1" applyFill="1" applyBorder="1" applyAlignment="1" applyProtection="1">
      <protection locked="0"/>
    </xf>
    <xf numFmtId="14" fontId="5" fillId="2" borderId="0" xfId="0" applyNumberFormat="1" applyFont="1" applyFill="1" applyAlignment="1" applyProtection="1">
      <alignment horizontal="right"/>
      <protection locked="0"/>
    </xf>
    <xf numFmtId="0" fontId="0" fillId="0" borderId="0" xfId="0" applyAlignment="1"/>
    <xf numFmtId="0" fontId="22" fillId="0" borderId="33" xfId="0" applyFont="1" applyFill="1" applyBorder="1" applyAlignment="1">
      <alignment textRotation="90"/>
    </xf>
    <xf numFmtId="0" fontId="22" fillId="0" borderId="34" xfId="0" applyFont="1" applyFill="1" applyBorder="1" applyAlignment="1">
      <alignment textRotation="90"/>
    </xf>
    <xf numFmtId="0" fontId="23" fillId="2" borderId="38" xfId="0" applyFont="1" applyFill="1" applyBorder="1" applyAlignment="1">
      <alignment horizontal="center"/>
    </xf>
    <xf numFmtId="0" fontId="17" fillId="2" borderId="0" xfId="0" applyFont="1" applyFill="1" applyAlignment="1"/>
    <xf numFmtId="0" fontId="7" fillId="4" borderId="39" xfId="0" applyNumberFormat="1" applyFont="1" applyFill="1" applyBorder="1" applyAlignment="1">
      <alignment horizontal="center" vertical="center" textRotation="90" wrapText="1"/>
    </xf>
    <xf numFmtId="0" fontId="12" fillId="0" borderId="40" xfId="0" applyFont="1" applyBorder="1" applyAlignment="1">
      <alignment horizontal="center" vertical="center" textRotation="90" wrapText="1"/>
    </xf>
    <xf numFmtId="0" fontId="7" fillId="3" borderId="10" xfId="0" applyNumberFormat="1" applyFont="1" applyFill="1" applyBorder="1" applyAlignment="1">
      <alignment horizontal="center" vertical="center" textRotation="90" wrapText="1"/>
    </xf>
    <xf numFmtId="0" fontId="7" fillId="3" borderId="18" xfId="0" applyNumberFormat="1" applyFont="1" applyFill="1" applyBorder="1" applyAlignment="1">
      <alignment horizontal="center" vertical="center" textRotation="90" wrapText="1"/>
    </xf>
    <xf numFmtId="0" fontId="13" fillId="2" borderId="38" xfId="0" applyFont="1" applyFill="1" applyBorder="1" applyAlignment="1"/>
    <xf numFmtId="49" fontId="9" fillId="2" borderId="0" xfId="0" applyNumberFormat="1" applyFont="1" applyFill="1" applyBorder="1" applyAlignment="1" applyProtection="1">
      <alignment horizontal="center" vertical="center" wrapText="1"/>
      <protection locked="0"/>
    </xf>
    <xf numFmtId="0" fontId="7" fillId="2" borderId="0" xfId="0" applyFont="1" applyFill="1" applyBorder="1" applyAlignment="1">
      <alignment vertical="center" wrapText="1"/>
    </xf>
    <xf numFmtId="49" fontId="15" fillId="2" borderId="0" xfId="0" applyNumberFormat="1" applyFont="1" applyFill="1" applyBorder="1" applyAlignment="1" applyProtection="1">
      <alignment horizontal="center" vertical="center" wrapText="1"/>
      <protection locked="0"/>
    </xf>
    <xf numFmtId="0" fontId="2" fillId="2" borderId="31" xfId="0" applyFont="1" applyFill="1" applyBorder="1" applyAlignment="1">
      <alignment horizontal="center" vertical="center" wrapText="1"/>
    </xf>
    <xf numFmtId="0" fontId="13" fillId="2" borderId="0" xfId="0" applyFont="1" applyFill="1" applyBorder="1" applyAlignment="1"/>
    <xf numFmtId="0" fontId="0" fillId="2" borderId="0" xfId="0" applyFont="1" applyFill="1" applyBorder="1" applyAlignment="1"/>
    <xf numFmtId="0" fontId="0" fillId="2" borderId="31" xfId="0" applyFont="1" applyFill="1" applyBorder="1" applyAlignment="1"/>
    <xf numFmtId="0" fontId="9" fillId="0" borderId="35" xfId="0" applyFont="1" applyFill="1" applyBorder="1" applyAlignment="1">
      <alignment horizontal="left" vertical="center"/>
    </xf>
    <xf numFmtId="0" fontId="13" fillId="0" borderId="36" xfId="0" applyFont="1" applyFill="1" applyBorder="1" applyAlignment="1"/>
    <xf numFmtId="0" fontId="13" fillId="0" borderId="37" xfId="0" applyFont="1" applyFill="1" applyBorder="1" applyAlignment="1"/>
    <xf numFmtId="0" fontId="17" fillId="2" borderId="0" xfId="0" applyFont="1" applyFill="1" applyBorder="1" applyAlignment="1">
      <alignment horizontal="left" vertical="center" wrapText="1"/>
    </xf>
    <xf numFmtId="0" fontId="0" fillId="2" borderId="31" xfId="0" applyFill="1" applyBorder="1" applyAlignment="1">
      <alignment horizontal="center"/>
    </xf>
    <xf numFmtId="0" fontId="0" fillId="2" borderId="31" xfId="0" applyFill="1" applyBorder="1" applyAlignment="1"/>
    <xf numFmtId="0" fontId="0" fillId="2" borderId="31" xfId="0" applyFill="1" applyBorder="1" applyAlignment="1" applyProtection="1">
      <alignment horizontal="left"/>
      <protection locked="0"/>
    </xf>
    <xf numFmtId="0" fontId="3" fillId="2" borderId="0" xfId="0" applyFont="1" applyFill="1" applyBorder="1" applyAlignment="1">
      <alignment horizontal="center" vertical="center" wrapText="1"/>
    </xf>
    <xf numFmtId="0" fontId="2" fillId="0" borderId="0" xfId="0" applyFont="1" applyFill="1" applyAlignment="1">
      <alignment horizontal="justify" wrapText="1"/>
    </xf>
    <xf numFmtId="0" fontId="13" fillId="0" borderId="0" xfId="0" applyFont="1" applyFill="1" applyAlignment="1">
      <alignment horizontal="justify"/>
    </xf>
    <xf numFmtId="0" fontId="7" fillId="0" borderId="32" xfId="0" applyNumberFormat="1" applyFont="1" applyFill="1" applyBorder="1" applyAlignment="1">
      <alignment horizontal="center" vertical="center" wrapText="1"/>
    </xf>
    <xf numFmtId="0" fontId="7" fillId="0" borderId="25"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7" fillId="0" borderId="27" xfId="0" applyNumberFormat="1"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7" fillId="4" borderId="9" xfId="0" applyNumberFormat="1" applyFont="1" applyFill="1" applyBorder="1" applyAlignment="1">
      <alignment horizontal="center" vertical="center" textRotation="90" wrapText="1"/>
    </xf>
    <xf numFmtId="0" fontId="7" fillId="4" borderId="17" xfId="0" applyNumberFormat="1" applyFont="1" applyFill="1" applyBorder="1" applyAlignment="1">
      <alignment horizontal="center" vertical="center" textRotation="90" wrapText="1"/>
    </xf>
    <xf numFmtId="0" fontId="6" fillId="4" borderId="5" xfId="0" applyNumberFormat="1" applyFont="1" applyFill="1" applyBorder="1" applyAlignment="1">
      <alignment horizontal="center" vertical="center" wrapText="1"/>
    </xf>
    <xf numFmtId="0" fontId="0" fillId="0" borderId="40" xfId="0" applyFont="1" applyBorder="1" applyAlignment="1">
      <alignment horizontal="center" vertical="center" textRotation="90" wrapText="1"/>
    </xf>
    <xf numFmtId="0" fontId="6" fillId="3" borderId="25" xfId="0" applyNumberFormat="1"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7" xfId="0" applyFont="1" applyFill="1" applyBorder="1" applyAlignment="1">
      <alignment horizontal="center" vertical="center" textRotation="90" wrapText="1"/>
    </xf>
    <xf numFmtId="0" fontId="7" fillId="3" borderId="48" xfId="0" applyNumberFormat="1" applyFont="1" applyFill="1" applyBorder="1" applyAlignment="1">
      <alignment horizontal="center" vertical="center" textRotation="90" wrapText="1"/>
    </xf>
    <xf numFmtId="0" fontId="13" fillId="3" borderId="49" xfId="0" applyFont="1" applyFill="1" applyBorder="1" applyAlignment="1">
      <alignment horizontal="center" vertical="center" textRotation="90" wrapText="1"/>
    </xf>
    <xf numFmtId="0" fontId="11" fillId="2" borderId="0" xfId="1" applyFill="1" applyBorder="1" applyAlignment="1" applyProtection="1">
      <protection locked="0"/>
    </xf>
  </cellXfs>
  <cellStyles count="3">
    <cellStyle name="Hipersaite" xfId="1" builtinId="8"/>
    <cellStyle name="Komats" xfId="2" builtin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C95"/>
  <sheetViews>
    <sheetView tabSelected="1" topLeftCell="A25" zoomScaleNormal="100" zoomScaleSheetLayoutView="100" workbookViewId="0">
      <selection activeCell="AA49" sqref="AA49"/>
    </sheetView>
  </sheetViews>
  <sheetFormatPr defaultColWidth="0" defaultRowHeight="14.25" zeroHeight="1" x14ac:dyDescent="0.2"/>
  <cols>
    <col min="1" max="1" width="4.28515625" style="33" customWidth="1"/>
    <col min="2" max="2" width="3.7109375" style="14" bestFit="1" customWidth="1"/>
    <col min="3" max="5" width="5.7109375" style="12" customWidth="1"/>
    <col min="6" max="6" width="5.5703125" style="12" customWidth="1"/>
    <col min="7" max="7" width="5.7109375" style="12" hidden="1" customWidth="1"/>
    <col min="8" max="8" width="5.7109375" style="12" customWidth="1"/>
    <col min="9" max="9" width="25.7109375" style="12" customWidth="1"/>
    <col min="10" max="10" width="6.7109375" style="15" customWidth="1"/>
    <col min="11" max="11" width="5" style="15" customWidth="1"/>
    <col min="12" max="12" width="5.7109375" style="15" customWidth="1"/>
    <col min="13" max="13" width="8.28515625" style="15" customWidth="1"/>
    <col min="14" max="14" width="7.7109375" style="15" customWidth="1"/>
    <col min="15" max="21" width="5.7109375" style="15" customWidth="1"/>
    <col min="22" max="22" width="6.85546875" style="15" customWidth="1"/>
    <col min="23" max="23" width="8.5703125" style="15" customWidth="1"/>
    <col min="24" max="24" width="6.85546875" style="15" customWidth="1"/>
    <col min="25" max="25" width="20.7109375" style="15" customWidth="1"/>
    <col min="26" max="26" width="18.7109375" style="15" customWidth="1"/>
    <col min="27" max="27" width="14.7109375" style="15" customWidth="1"/>
    <col min="28" max="28" width="9.140625" style="16" hidden="1" customWidth="1"/>
    <col min="29" max="29" width="0" style="16" hidden="1" customWidth="1"/>
    <col min="30" max="16384" width="0" style="12" hidden="1"/>
  </cols>
  <sheetData>
    <row r="1" spans="1:29" s="1" customFormat="1" ht="15" x14ac:dyDescent="0.2">
      <c r="A1" s="33"/>
      <c r="B1" s="14"/>
      <c r="C1" s="12"/>
      <c r="D1" s="12"/>
      <c r="E1" s="12"/>
      <c r="F1" s="12"/>
      <c r="G1" s="12"/>
      <c r="H1" s="12"/>
      <c r="I1" s="12"/>
      <c r="J1" s="15"/>
      <c r="K1" s="15"/>
      <c r="L1" s="15"/>
      <c r="M1" s="15"/>
      <c r="N1" s="15"/>
      <c r="O1" s="15"/>
      <c r="P1" s="15"/>
      <c r="Q1" s="15"/>
      <c r="R1" s="15"/>
      <c r="S1" s="15"/>
      <c r="T1" s="15"/>
      <c r="U1" s="15"/>
      <c r="V1" s="15"/>
      <c r="W1" s="15"/>
      <c r="X1" s="15"/>
      <c r="Y1" s="15"/>
      <c r="Z1" s="15"/>
      <c r="AA1" s="15"/>
      <c r="AB1" s="16"/>
      <c r="AC1" s="2"/>
    </row>
    <row r="2" spans="1:29" s="1" customFormat="1" ht="15.75" x14ac:dyDescent="0.25">
      <c r="A2" s="98"/>
      <c r="B2" s="99"/>
      <c r="C2" s="99"/>
      <c r="D2" s="99"/>
      <c r="E2" s="99"/>
      <c r="F2" s="99"/>
      <c r="G2" s="99"/>
      <c r="H2" s="99"/>
      <c r="I2" s="99"/>
      <c r="J2" s="99"/>
      <c r="K2" s="99"/>
      <c r="L2" s="99"/>
      <c r="M2" s="63"/>
      <c r="N2" s="15"/>
      <c r="O2" s="15"/>
      <c r="P2" s="15"/>
      <c r="Q2" s="15"/>
      <c r="R2" s="15"/>
      <c r="S2" s="15"/>
      <c r="T2" s="15"/>
      <c r="U2" s="17"/>
      <c r="V2" s="17"/>
      <c r="W2" s="17"/>
      <c r="X2" s="17"/>
      <c r="Y2" s="122"/>
      <c r="Z2" s="122"/>
      <c r="AA2" s="122"/>
      <c r="AB2" s="16"/>
      <c r="AC2" s="2"/>
    </row>
    <row r="3" spans="1:29" s="1" customFormat="1" ht="15.75" x14ac:dyDescent="0.25">
      <c r="A3" s="100"/>
      <c r="B3" s="100"/>
      <c r="C3" s="100"/>
      <c r="D3" s="100"/>
      <c r="E3" s="100"/>
      <c r="F3" s="100"/>
      <c r="G3" s="100"/>
      <c r="H3" s="100"/>
      <c r="I3" s="100"/>
      <c r="J3" s="100"/>
      <c r="K3" s="100"/>
      <c r="L3" s="100"/>
      <c r="M3" s="63"/>
      <c r="N3" s="15"/>
      <c r="O3" s="15"/>
      <c r="P3" s="15"/>
      <c r="Q3" s="15"/>
      <c r="R3" s="15"/>
      <c r="S3" s="15"/>
      <c r="T3" s="15"/>
      <c r="U3" s="34"/>
      <c r="V3" s="35"/>
      <c r="W3" s="35"/>
      <c r="X3" s="34"/>
      <c r="Y3" s="34"/>
      <c r="Z3" s="42"/>
      <c r="AA3" s="34"/>
      <c r="AB3" s="16"/>
      <c r="AC3" s="2"/>
    </row>
    <row r="4" spans="1:29" s="1" customFormat="1" ht="15.75" x14ac:dyDescent="0.25">
      <c r="A4" s="98"/>
      <c r="B4" s="99"/>
      <c r="C4" s="99"/>
      <c r="D4" s="99"/>
      <c r="E4" s="99"/>
      <c r="F4" s="99"/>
      <c r="G4" s="99"/>
      <c r="H4" s="99"/>
      <c r="I4" s="99"/>
      <c r="J4" s="99"/>
      <c r="K4" s="99"/>
      <c r="L4" s="99"/>
      <c r="M4" s="63"/>
      <c r="N4" s="15"/>
      <c r="O4" s="15"/>
      <c r="P4" s="15"/>
      <c r="Q4" s="15"/>
      <c r="R4" s="15"/>
      <c r="S4" s="15"/>
      <c r="T4" s="15"/>
      <c r="U4" s="34"/>
      <c r="V4" s="35"/>
      <c r="W4" s="35"/>
      <c r="X4" s="17"/>
      <c r="Y4" s="17"/>
      <c r="Z4" s="41"/>
      <c r="AA4" s="17"/>
      <c r="AB4" s="16"/>
      <c r="AC4" s="2"/>
    </row>
    <row r="5" spans="1:29" s="1" customFormat="1" ht="18" x14ac:dyDescent="0.25">
      <c r="A5" s="100"/>
      <c r="B5" s="100"/>
      <c r="C5" s="100"/>
      <c r="D5" s="100"/>
      <c r="E5" s="100"/>
      <c r="F5" s="100"/>
      <c r="G5" s="100"/>
      <c r="H5" s="100"/>
      <c r="I5" s="100"/>
      <c r="J5" s="100"/>
      <c r="K5" s="100"/>
      <c r="L5" s="100"/>
      <c r="M5" s="63"/>
      <c r="N5" s="15"/>
      <c r="O5" s="15"/>
      <c r="P5" s="15"/>
      <c r="Q5" s="15"/>
      <c r="R5" s="15"/>
      <c r="S5" s="15"/>
      <c r="T5" s="15"/>
      <c r="U5" s="36"/>
      <c r="V5" s="17"/>
      <c r="W5" s="17"/>
      <c r="X5" s="157"/>
      <c r="Y5" s="157"/>
      <c r="Z5" s="157"/>
      <c r="AA5" s="157"/>
      <c r="AB5" s="16"/>
      <c r="AC5" s="2"/>
    </row>
    <row r="6" spans="1:29" s="1" customFormat="1" ht="15.75" x14ac:dyDescent="0.25">
      <c r="A6" s="181"/>
      <c r="B6" s="99"/>
      <c r="C6" s="99"/>
      <c r="D6" s="99"/>
      <c r="E6" s="99"/>
      <c r="F6" s="12"/>
      <c r="G6" s="12"/>
      <c r="H6" s="131"/>
      <c r="I6" s="131"/>
      <c r="J6" s="99"/>
      <c r="K6" s="99"/>
      <c r="L6" s="99"/>
      <c r="M6" s="63"/>
      <c r="N6" s="15"/>
      <c r="O6" s="15"/>
      <c r="P6" s="15"/>
      <c r="Q6" s="15"/>
      <c r="R6" s="15"/>
      <c r="S6" s="15"/>
      <c r="T6" s="15"/>
      <c r="U6" s="17"/>
      <c r="V6" s="17"/>
      <c r="W6" s="17"/>
      <c r="X6" s="37"/>
      <c r="Y6" s="37"/>
      <c r="Z6" s="37"/>
      <c r="AA6" s="37"/>
      <c r="AB6" s="16"/>
      <c r="AC6" s="2"/>
    </row>
    <row r="7" spans="1:29" s="1" customFormat="1" ht="15.75" x14ac:dyDescent="0.25">
      <c r="A7" s="100"/>
      <c r="B7" s="100"/>
      <c r="C7" s="100"/>
      <c r="D7" s="100"/>
      <c r="E7" s="100"/>
      <c r="F7" s="12"/>
      <c r="G7" s="12"/>
      <c r="H7" s="100"/>
      <c r="I7" s="100"/>
      <c r="J7" s="100"/>
      <c r="K7" s="100"/>
      <c r="L7" s="100"/>
      <c r="M7" s="63"/>
      <c r="N7" s="15"/>
      <c r="O7" s="15"/>
      <c r="P7" s="15"/>
      <c r="Q7" s="15"/>
      <c r="R7" s="15"/>
      <c r="S7" s="15"/>
      <c r="T7" s="15"/>
      <c r="U7" s="38"/>
      <c r="V7" s="39"/>
      <c r="W7" s="39"/>
      <c r="X7" s="15"/>
      <c r="Y7" s="39"/>
      <c r="Z7" s="39"/>
      <c r="AA7" s="15"/>
      <c r="AB7" s="16"/>
      <c r="AC7" s="2"/>
    </row>
    <row r="8" spans="1:29" s="1" customFormat="1" ht="15" x14ac:dyDescent="0.2">
      <c r="A8" s="33"/>
      <c r="B8" s="14"/>
      <c r="C8" s="12"/>
      <c r="D8" s="12"/>
      <c r="E8" s="12"/>
      <c r="F8" s="12"/>
      <c r="G8" s="12"/>
      <c r="H8" s="12"/>
      <c r="I8" s="12"/>
      <c r="J8" s="15"/>
      <c r="K8" s="15"/>
      <c r="L8" s="15"/>
      <c r="M8" s="15"/>
      <c r="N8" s="15"/>
      <c r="O8" s="15"/>
      <c r="P8" s="15"/>
      <c r="Q8" s="15"/>
      <c r="R8" s="15"/>
      <c r="S8" s="15"/>
      <c r="T8" s="15"/>
      <c r="U8" s="15"/>
      <c r="V8" s="15"/>
      <c r="W8" s="15"/>
      <c r="X8" s="15"/>
      <c r="Y8" s="15"/>
      <c r="Z8" s="15"/>
      <c r="AA8" s="15"/>
      <c r="AB8" s="16"/>
      <c r="AC8" s="2"/>
    </row>
    <row r="9" spans="1:29" s="1" customFormat="1" ht="18" customHeight="1" x14ac:dyDescent="0.25">
      <c r="A9" s="33"/>
      <c r="B9" s="14"/>
      <c r="C9" s="12"/>
      <c r="D9" s="12"/>
      <c r="E9" s="12"/>
      <c r="F9" s="12"/>
      <c r="G9" s="12"/>
      <c r="H9" s="12"/>
      <c r="I9" s="12"/>
      <c r="J9" s="15"/>
      <c r="K9" s="15"/>
      <c r="L9" s="15"/>
      <c r="M9" s="132">
        <f ca="1">TODAY()</f>
        <v>42199</v>
      </c>
      <c r="N9" s="133"/>
      <c r="O9" s="64" t="s">
        <v>23</v>
      </c>
      <c r="P9" s="64"/>
      <c r="Q9" s="65"/>
      <c r="R9" s="65"/>
      <c r="S9" s="103"/>
      <c r="T9" s="103"/>
      <c r="U9" s="103"/>
      <c r="V9" s="103"/>
      <c r="W9" s="40"/>
      <c r="X9" s="40"/>
      <c r="Y9" s="15"/>
      <c r="Z9" s="15"/>
      <c r="AA9" s="15"/>
      <c r="AB9" s="16"/>
      <c r="AC9" s="2"/>
    </row>
    <row r="10" spans="1:29" ht="15" x14ac:dyDescent="0.2">
      <c r="A10" s="13"/>
    </row>
    <row r="11" spans="1:29" ht="44.25" customHeight="1" x14ac:dyDescent="0.2">
      <c r="A11" s="158" t="s">
        <v>53</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row>
    <row r="12" spans="1:29" ht="13.5" customHeight="1" thickBot="1" x14ac:dyDescent="0.3">
      <c r="A12" s="13"/>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row>
    <row r="13" spans="1:29" s="3" customFormat="1" ht="18.75" customHeight="1" thickBot="1" x14ac:dyDescent="0.3">
      <c r="A13" s="134" t="s">
        <v>0</v>
      </c>
      <c r="B13" s="160" t="s">
        <v>36</v>
      </c>
      <c r="C13" s="161"/>
      <c r="D13" s="161"/>
      <c r="E13" s="161"/>
      <c r="F13" s="161"/>
      <c r="G13" s="162"/>
      <c r="H13" s="107" t="s">
        <v>37</v>
      </c>
      <c r="I13" s="107" t="s">
        <v>34</v>
      </c>
      <c r="J13" s="117" t="s">
        <v>35</v>
      </c>
      <c r="K13" s="118"/>
      <c r="L13" s="118"/>
      <c r="M13" s="118"/>
      <c r="N13" s="118"/>
      <c r="O13" s="118"/>
      <c r="P13" s="118"/>
      <c r="Q13" s="118"/>
      <c r="R13" s="118"/>
      <c r="S13" s="118"/>
      <c r="T13" s="118"/>
      <c r="U13" s="118"/>
      <c r="V13" s="118"/>
      <c r="W13" s="118"/>
      <c r="X13" s="118"/>
      <c r="Y13" s="118"/>
      <c r="Z13" s="119"/>
      <c r="AA13" s="120"/>
      <c r="AB13" s="19"/>
      <c r="AC13" s="19"/>
    </row>
    <row r="14" spans="1:29" s="4" customFormat="1" ht="31.5" customHeight="1" thickBot="1" x14ac:dyDescent="0.3">
      <c r="A14" s="135"/>
      <c r="B14" s="163"/>
      <c r="C14" s="164"/>
      <c r="D14" s="164"/>
      <c r="E14" s="164"/>
      <c r="F14" s="164"/>
      <c r="G14" s="165"/>
      <c r="H14" s="112"/>
      <c r="I14" s="108"/>
      <c r="J14" s="176" t="s">
        <v>1</v>
      </c>
      <c r="K14" s="176"/>
      <c r="L14" s="176"/>
      <c r="M14" s="176"/>
      <c r="N14" s="176"/>
      <c r="O14" s="177"/>
      <c r="P14" s="177"/>
      <c r="Q14" s="177"/>
      <c r="R14" s="177"/>
      <c r="S14" s="177"/>
      <c r="T14" s="177"/>
      <c r="U14" s="177"/>
      <c r="V14" s="177"/>
      <c r="W14" s="177"/>
      <c r="X14" s="177"/>
      <c r="Y14" s="174" t="s">
        <v>54</v>
      </c>
      <c r="Z14" s="174"/>
      <c r="AA14" s="174"/>
      <c r="AB14" s="20"/>
      <c r="AC14" s="20"/>
    </row>
    <row r="15" spans="1:29" s="3" customFormat="1" ht="54" customHeight="1" x14ac:dyDescent="0.25">
      <c r="A15" s="135"/>
      <c r="B15" s="166"/>
      <c r="C15" s="167"/>
      <c r="D15" s="167"/>
      <c r="E15" s="167"/>
      <c r="F15" s="167"/>
      <c r="G15" s="168"/>
      <c r="H15" s="112"/>
      <c r="I15" s="108"/>
      <c r="J15" s="123" t="s">
        <v>50</v>
      </c>
      <c r="K15" s="101" t="s">
        <v>2</v>
      </c>
      <c r="L15" s="101" t="s">
        <v>3</v>
      </c>
      <c r="M15" s="110" t="s">
        <v>38</v>
      </c>
      <c r="N15" s="101" t="s">
        <v>4</v>
      </c>
      <c r="O15" s="123" t="s">
        <v>5</v>
      </c>
      <c r="P15" s="110" t="s">
        <v>19</v>
      </c>
      <c r="Q15" s="101" t="s">
        <v>6</v>
      </c>
      <c r="R15" s="101" t="s">
        <v>7</v>
      </c>
      <c r="S15" s="101" t="s">
        <v>51</v>
      </c>
      <c r="T15" s="110" t="s">
        <v>20</v>
      </c>
      <c r="U15" s="101" t="s">
        <v>8</v>
      </c>
      <c r="V15" s="140" t="s">
        <v>9</v>
      </c>
      <c r="W15" s="101" t="s">
        <v>10</v>
      </c>
      <c r="X15" s="179" t="s">
        <v>11</v>
      </c>
      <c r="Y15" s="172" t="s">
        <v>39</v>
      </c>
      <c r="Z15" s="138" t="s">
        <v>40</v>
      </c>
      <c r="AA15" s="125" t="s">
        <v>12</v>
      </c>
      <c r="AB15" s="19"/>
      <c r="AC15" s="19"/>
    </row>
    <row r="16" spans="1:29" s="3" customFormat="1" ht="126" customHeight="1" thickBot="1" x14ac:dyDescent="0.3">
      <c r="A16" s="135"/>
      <c r="B16" s="169"/>
      <c r="C16" s="170"/>
      <c r="D16" s="170"/>
      <c r="E16" s="170"/>
      <c r="F16" s="170"/>
      <c r="G16" s="171"/>
      <c r="H16" s="113"/>
      <c r="I16" s="109"/>
      <c r="J16" s="124"/>
      <c r="K16" s="121"/>
      <c r="L16" s="121"/>
      <c r="M16" s="111"/>
      <c r="N16" s="121"/>
      <c r="O16" s="124"/>
      <c r="P16" s="175"/>
      <c r="Q16" s="121"/>
      <c r="R16" s="102"/>
      <c r="S16" s="102"/>
      <c r="T16" s="175"/>
      <c r="U16" s="121"/>
      <c r="V16" s="141"/>
      <c r="W16" s="178"/>
      <c r="X16" s="180"/>
      <c r="Y16" s="173"/>
      <c r="Z16" s="139"/>
      <c r="AA16" s="126"/>
      <c r="AB16" s="19"/>
      <c r="AC16" s="21"/>
    </row>
    <row r="17" spans="1:29" s="3" customFormat="1" x14ac:dyDescent="0.2">
      <c r="A17" s="5">
        <v>1</v>
      </c>
      <c r="B17" s="129"/>
      <c r="C17" s="130"/>
      <c r="D17" s="130"/>
      <c r="E17" s="130"/>
      <c r="F17" s="130"/>
      <c r="G17" s="130"/>
      <c r="H17" s="116"/>
      <c r="I17" s="104"/>
      <c r="J17" s="22"/>
      <c r="K17" s="23"/>
      <c r="L17" s="23"/>
      <c r="M17" s="23"/>
      <c r="N17" s="23"/>
      <c r="O17" s="23"/>
      <c r="P17" s="23"/>
      <c r="Q17" s="23"/>
      <c r="R17" s="23"/>
      <c r="S17" s="23"/>
      <c r="T17" s="23"/>
      <c r="U17" s="23"/>
      <c r="V17" s="23"/>
      <c r="W17" s="24"/>
      <c r="X17" s="23"/>
      <c r="Y17" s="43"/>
      <c r="Z17" s="43"/>
      <c r="AA17" s="44"/>
      <c r="AB17" s="19"/>
      <c r="AC17" s="19"/>
    </row>
    <row r="18" spans="1:29" s="3" customFormat="1" x14ac:dyDescent="0.2">
      <c r="A18" s="6">
        <v>2</v>
      </c>
      <c r="B18" s="114"/>
      <c r="C18" s="115"/>
      <c r="D18" s="115"/>
      <c r="E18" s="115"/>
      <c r="F18" s="115"/>
      <c r="G18" s="115"/>
      <c r="H18" s="116"/>
      <c r="I18" s="105"/>
      <c r="J18" s="25"/>
      <c r="K18" s="26"/>
      <c r="L18" s="26"/>
      <c r="M18" s="26"/>
      <c r="N18" s="26"/>
      <c r="O18" s="26"/>
      <c r="P18" s="26"/>
      <c r="Q18" s="26"/>
      <c r="R18" s="26"/>
      <c r="S18" s="26"/>
      <c r="T18" s="26"/>
      <c r="U18" s="26"/>
      <c r="V18" s="26"/>
      <c r="W18" s="27"/>
      <c r="X18" s="26"/>
      <c r="Y18" s="28"/>
      <c r="Z18" s="28"/>
      <c r="AA18" s="29"/>
      <c r="AB18" s="19"/>
      <c r="AC18" s="19"/>
    </row>
    <row r="19" spans="1:29" s="3" customFormat="1" x14ac:dyDescent="0.2">
      <c r="A19" s="6">
        <v>3</v>
      </c>
      <c r="B19" s="114"/>
      <c r="C19" s="115"/>
      <c r="D19" s="115"/>
      <c r="E19" s="115"/>
      <c r="F19" s="115"/>
      <c r="G19" s="115"/>
      <c r="H19" s="116"/>
      <c r="I19" s="105"/>
      <c r="J19" s="25"/>
      <c r="K19" s="26"/>
      <c r="L19" s="26"/>
      <c r="M19" s="26"/>
      <c r="N19" s="26"/>
      <c r="O19" s="26"/>
      <c r="P19" s="26"/>
      <c r="Q19" s="26"/>
      <c r="R19" s="26"/>
      <c r="S19" s="26"/>
      <c r="T19" s="26"/>
      <c r="U19" s="26"/>
      <c r="V19" s="26"/>
      <c r="W19" s="27"/>
      <c r="X19" s="26"/>
      <c r="Y19" s="28"/>
      <c r="Z19" s="28"/>
      <c r="AA19" s="29"/>
      <c r="AB19" s="19"/>
      <c r="AC19" s="19"/>
    </row>
    <row r="20" spans="1:29" s="3" customFormat="1" x14ac:dyDescent="0.2">
      <c r="A20" s="6">
        <v>4</v>
      </c>
      <c r="B20" s="114"/>
      <c r="C20" s="115"/>
      <c r="D20" s="115"/>
      <c r="E20" s="115"/>
      <c r="F20" s="115"/>
      <c r="G20" s="115"/>
      <c r="H20" s="116"/>
      <c r="I20" s="105"/>
      <c r="J20" s="25"/>
      <c r="K20" s="26"/>
      <c r="L20" s="26"/>
      <c r="M20" s="26"/>
      <c r="N20" s="26"/>
      <c r="O20" s="26"/>
      <c r="P20" s="26"/>
      <c r="Q20" s="26"/>
      <c r="R20" s="26"/>
      <c r="S20" s="26"/>
      <c r="T20" s="26"/>
      <c r="U20" s="26"/>
      <c r="V20" s="26"/>
      <c r="W20" s="27"/>
      <c r="X20" s="26"/>
      <c r="Y20" s="28"/>
      <c r="Z20" s="28"/>
      <c r="AA20" s="29"/>
      <c r="AB20" s="19"/>
      <c r="AC20" s="19"/>
    </row>
    <row r="21" spans="1:29" s="3" customFormat="1" x14ac:dyDescent="0.2">
      <c r="A21" s="6">
        <v>5</v>
      </c>
      <c r="B21" s="114"/>
      <c r="C21" s="115"/>
      <c r="D21" s="115"/>
      <c r="E21" s="115"/>
      <c r="F21" s="115"/>
      <c r="G21" s="115"/>
      <c r="H21" s="116"/>
      <c r="I21" s="105"/>
      <c r="J21" s="25"/>
      <c r="K21" s="26"/>
      <c r="L21" s="26"/>
      <c r="M21" s="26"/>
      <c r="N21" s="26"/>
      <c r="O21" s="26"/>
      <c r="P21" s="26"/>
      <c r="Q21" s="26"/>
      <c r="R21" s="26"/>
      <c r="S21" s="26"/>
      <c r="T21" s="26"/>
      <c r="U21" s="26"/>
      <c r="V21" s="26"/>
      <c r="W21" s="27"/>
      <c r="X21" s="26"/>
      <c r="Y21" s="28"/>
      <c r="Z21" s="28"/>
      <c r="AA21" s="29"/>
      <c r="AB21" s="19"/>
      <c r="AC21" s="19"/>
    </row>
    <row r="22" spans="1:29" s="3" customFormat="1" x14ac:dyDescent="0.2">
      <c r="A22" s="6">
        <v>6</v>
      </c>
      <c r="B22" s="114"/>
      <c r="C22" s="115"/>
      <c r="D22" s="115"/>
      <c r="E22" s="115"/>
      <c r="F22" s="115"/>
      <c r="G22" s="115"/>
      <c r="H22" s="116"/>
      <c r="I22" s="105"/>
      <c r="J22" s="25"/>
      <c r="K22" s="26"/>
      <c r="L22" s="26"/>
      <c r="M22" s="26"/>
      <c r="N22" s="26"/>
      <c r="O22" s="26"/>
      <c r="P22" s="26"/>
      <c r="Q22" s="26"/>
      <c r="R22" s="26"/>
      <c r="S22" s="26"/>
      <c r="T22" s="26"/>
      <c r="U22" s="26"/>
      <c r="V22" s="26"/>
      <c r="W22" s="27"/>
      <c r="X22" s="26"/>
      <c r="Y22" s="28"/>
      <c r="Z22" s="28"/>
      <c r="AA22" s="29"/>
      <c r="AB22" s="19"/>
      <c r="AC22" s="19"/>
    </row>
    <row r="23" spans="1:29" s="3" customFormat="1" x14ac:dyDescent="0.2">
      <c r="A23" s="6">
        <v>7</v>
      </c>
      <c r="B23" s="114"/>
      <c r="C23" s="115"/>
      <c r="D23" s="115"/>
      <c r="E23" s="115"/>
      <c r="F23" s="115"/>
      <c r="G23" s="115"/>
      <c r="H23" s="116"/>
      <c r="I23" s="105"/>
      <c r="J23" s="25"/>
      <c r="K23" s="26"/>
      <c r="L23" s="26"/>
      <c r="M23" s="26"/>
      <c r="N23" s="26"/>
      <c r="O23" s="26"/>
      <c r="P23" s="26"/>
      <c r="Q23" s="26"/>
      <c r="R23" s="26"/>
      <c r="S23" s="26"/>
      <c r="T23" s="26"/>
      <c r="U23" s="26"/>
      <c r="V23" s="26"/>
      <c r="W23" s="27"/>
      <c r="X23" s="26"/>
      <c r="Y23" s="28"/>
      <c r="Z23" s="28"/>
      <c r="AA23" s="29"/>
      <c r="AB23" s="19"/>
      <c r="AC23" s="19"/>
    </row>
    <row r="24" spans="1:29" s="3" customFormat="1" x14ac:dyDescent="0.2">
      <c r="A24" s="6">
        <v>8</v>
      </c>
      <c r="B24" s="114"/>
      <c r="C24" s="115"/>
      <c r="D24" s="115"/>
      <c r="E24" s="115"/>
      <c r="F24" s="115"/>
      <c r="G24" s="115"/>
      <c r="H24" s="116"/>
      <c r="I24" s="105"/>
      <c r="J24" s="25"/>
      <c r="K24" s="26"/>
      <c r="L24" s="26"/>
      <c r="M24" s="26"/>
      <c r="N24" s="26"/>
      <c r="O24" s="26"/>
      <c r="P24" s="26"/>
      <c r="Q24" s="26"/>
      <c r="R24" s="26"/>
      <c r="S24" s="26"/>
      <c r="T24" s="26"/>
      <c r="U24" s="26"/>
      <c r="V24" s="26"/>
      <c r="W24" s="27"/>
      <c r="X24" s="26"/>
      <c r="Y24" s="28"/>
      <c r="Z24" s="28"/>
      <c r="AA24" s="29"/>
      <c r="AB24" s="19"/>
      <c r="AC24" s="19"/>
    </row>
    <row r="25" spans="1:29" s="3" customFormat="1" x14ac:dyDescent="0.2">
      <c r="A25" s="6">
        <v>9</v>
      </c>
      <c r="B25" s="74"/>
      <c r="C25" s="75"/>
      <c r="D25" s="75"/>
      <c r="E25" s="75"/>
      <c r="F25" s="75"/>
      <c r="G25" s="75"/>
      <c r="H25" s="116"/>
      <c r="I25" s="105"/>
      <c r="J25" s="25"/>
      <c r="K25" s="26"/>
      <c r="L25" s="26"/>
      <c r="M25" s="26"/>
      <c r="N25" s="26"/>
      <c r="O25" s="26"/>
      <c r="P25" s="26"/>
      <c r="Q25" s="26"/>
      <c r="R25" s="26"/>
      <c r="S25" s="26"/>
      <c r="T25" s="26"/>
      <c r="U25" s="26"/>
      <c r="V25" s="26"/>
      <c r="W25" s="27"/>
      <c r="X25" s="26"/>
      <c r="Y25" s="28"/>
      <c r="Z25" s="28"/>
      <c r="AA25" s="29"/>
      <c r="AB25" s="19"/>
      <c r="AC25" s="19"/>
    </row>
    <row r="26" spans="1:29" s="3" customFormat="1" x14ac:dyDescent="0.2">
      <c r="A26" s="6">
        <v>10</v>
      </c>
      <c r="B26" s="74"/>
      <c r="C26" s="75"/>
      <c r="D26" s="75"/>
      <c r="E26" s="75"/>
      <c r="F26" s="75"/>
      <c r="G26" s="75"/>
      <c r="H26" s="116"/>
      <c r="I26" s="105"/>
      <c r="J26" s="25"/>
      <c r="K26" s="26"/>
      <c r="L26" s="26"/>
      <c r="M26" s="26"/>
      <c r="N26" s="26"/>
      <c r="O26" s="26"/>
      <c r="P26" s="26"/>
      <c r="Q26" s="26"/>
      <c r="R26" s="26"/>
      <c r="S26" s="26"/>
      <c r="T26" s="26"/>
      <c r="U26" s="26"/>
      <c r="V26" s="26"/>
      <c r="W26" s="27"/>
      <c r="X26" s="26"/>
      <c r="Y26" s="28"/>
      <c r="Z26" s="28"/>
      <c r="AA26" s="29"/>
      <c r="AB26" s="19"/>
      <c r="AC26" s="19"/>
    </row>
    <row r="27" spans="1:29" s="3" customFormat="1" x14ac:dyDescent="0.2">
      <c r="A27" s="6">
        <v>11</v>
      </c>
      <c r="B27" s="74"/>
      <c r="C27" s="75"/>
      <c r="D27" s="75"/>
      <c r="E27" s="75"/>
      <c r="F27" s="75"/>
      <c r="G27" s="75"/>
      <c r="H27" s="116"/>
      <c r="I27" s="105"/>
      <c r="J27" s="25"/>
      <c r="K27" s="26"/>
      <c r="L27" s="26"/>
      <c r="M27" s="26"/>
      <c r="N27" s="26"/>
      <c r="O27" s="26"/>
      <c r="P27" s="26"/>
      <c r="Q27" s="26"/>
      <c r="R27" s="26"/>
      <c r="S27" s="26"/>
      <c r="T27" s="26"/>
      <c r="U27" s="26"/>
      <c r="V27" s="26"/>
      <c r="W27" s="27"/>
      <c r="X27" s="26"/>
      <c r="Y27" s="28"/>
      <c r="Z27" s="28"/>
      <c r="AA27" s="29"/>
      <c r="AB27" s="19"/>
      <c r="AC27" s="19"/>
    </row>
    <row r="28" spans="1:29" s="3" customFormat="1" x14ac:dyDescent="0.2">
      <c r="A28" s="6">
        <v>12</v>
      </c>
      <c r="B28" s="74"/>
      <c r="C28" s="75"/>
      <c r="D28" s="75"/>
      <c r="E28" s="75"/>
      <c r="F28" s="75"/>
      <c r="G28" s="75"/>
      <c r="H28" s="116"/>
      <c r="I28" s="105"/>
      <c r="J28" s="25"/>
      <c r="K28" s="26"/>
      <c r="L28" s="26"/>
      <c r="M28" s="26"/>
      <c r="N28" s="26"/>
      <c r="O28" s="26"/>
      <c r="P28" s="26"/>
      <c r="Q28" s="26"/>
      <c r="R28" s="26"/>
      <c r="S28" s="26"/>
      <c r="T28" s="26"/>
      <c r="U28" s="26"/>
      <c r="V28" s="26"/>
      <c r="W28" s="27"/>
      <c r="X28" s="26"/>
      <c r="Y28" s="28"/>
      <c r="Z28" s="28"/>
      <c r="AA28" s="29"/>
      <c r="AB28" s="19"/>
      <c r="AC28" s="19"/>
    </row>
    <row r="29" spans="1:29" s="3" customFormat="1" x14ac:dyDescent="0.2">
      <c r="A29" s="6">
        <v>13</v>
      </c>
      <c r="B29" s="74"/>
      <c r="C29" s="75"/>
      <c r="D29" s="75"/>
      <c r="E29" s="75"/>
      <c r="F29" s="75"/>
      <c r="G29" s="75"/>
      <c r="H29" s="116"/>
      <c r="I29" s="105"/>
      <c r="J29" s="25"/>
      <c r="K29" s="26"/>
      <c r="L29" s="26"/>
      <c r="M29" s="26"/>
      <c r="N29" s="26"/>
      <c r="O29" s="26"/>
      <c r="P29" s="26"/>
      <c r="Q29" s="26"/>
      <c r="R29" s="26"/>
      <c r="S29" s="26"/>
      <c r="T29" s="26"/>
      <c r="U29" s="26"/>
      <c r="V29" s="26"/>
      <c r="W29" s="27"/>
      <c r="X29" s="26"/>
      <c r="Y29" s="28"/>
      <c r="Z29" s="28"/>
      <c r="AA29" s="29"/>
      <c r="AB29" s="19"/>
      <c r="AC29" s="19"/>
    </row>
    <row r="30" spans="1:29" s="3" customFormat="1" x14ac:dyDescent="0.2">
      <c r="A30" s="6">
        <v>14</v>
      </c>
      <c r="B30" s="114"/>
      <c r="C30" s="115"/>
      <c r="D30" s="115"/>
      <c r="E30" s="115"/>
      <c r="F30" s="115"/>
      <c r="G30" s="115"/>
      <c r="H30" s="116"/>
      <c r="I30" s="105"/>
      <c r="J30" s="25"/>
      <c r="K30" s="26"/>
      <c r="L30" s="26"/>
      <c r="M30" s="26"/>
      <c r="N30" s="26"/>
      <c r="O30" s="26"/>
      <c r="P30" s="26"/>
      <c r="Q30" s="26"/>
      <c r="R30" s="26"/>
      <c r="S30" s="26"/>
      <c r="T30" s="26"/>
      <c r="U30" s="26"/>
      <c r="V30" s="26"/>
      <c r="W30" s="27"/>
      <c r="X30" s="26"/>
      <c r="Y30" s="28"/>
      <c r="Z30" s="28"/>
      <c r="AA30" s="29"/>
      <c r="AB30" s="19"/>
      <c r="AC30" s="19"/>
    </row>
    <row r="31" spans="1:29" s="3" customFormat="1" ht="15" thickBot="1" x14ac:dyDescent="0.25">
      <c r="A31" s="7">
        <v>15</v>
      </c>
      <c r="B31" s="127"/>
      <c r="C31" s="128"/>
      <c r="D31" s="128"/>
      <c r="E31" s="128"/>
      <c r="F31" s="128"/>
      <c r="G31" s="128"/>
      <c r="H31" s="116"/>
      <c r="I31" s="106"/>
      <c r="J31" s="30"/>
      <c r="K31" s="31"/>
      <c r="L31" s="31"/>
      <c r="M31" s="31"/>
      <c r="N31" s="31"/>
      <c r="O31" s="31"/>
      <c r="P31" s="31"/>
      <c r="Q31" s="31"/>
      <c r="R31" s="31"/>
      <c r="S31" s="31"/>
      <c r="T31" s="31"/>
      <c r="U31" s="31"/>
      <c r="V31" s="31"/>
      <c r="W31" s="32"/>
      <c r="X31" s="31"/>
      <c r="Y31" s="45"/>
      <c r="Z31" s="45"/>
      <c r="AA31" s="46"/>
      <c r="AB31" s="19"/>
      <c r="AC31" s="19"/>
    </row>
    <row r="32" spans="1:29" s="1" customFormat="1" ht="18.75" customHeight="1" thickBot="1" x14ac:dyDescent="0.25">
      <c r="A32" s="150" t="s">
        <v>13</v>
      </c>
      <c r="B32" s="151"/>
      <c r="C32" s="151"/>
      <c r="D32" s="151"/>
      <c r="E32" s="151"/>
      <c r="F32" s="151"/>
      <c r="G32" s="152"/>
      <c r="H32" s="11"/>
      <c r="I32" s="11"/>
      <c r="J32" s="8"/>
      <c r="K32" s="9"/>
      <c r="L32" s="9"/>
      <c r="M32" s="9"/>
      <c r="N32" s="9"/>
      <c r="O32" s="9"/>
      <c r="P32" s="9"/>
      <c r="Q32" s="9"/>
      <c r="R32" s="9"/>
      <c r="S32" s="9"/>
      <c r="T32" s="9"/>
      <c r="U32" s="9"/>
      <c r="V32" s="9"/>
      <c r="W32" s="9"/>
      <c r="X32" s="9"/>
      <c r="Y32" s="9"/>
      <c r="Z32" s="47"/>
      <c r="AA32" s="10"/>
      <c r="AB32" s="16"/>
      <c r="AC32" s="16"/>
    </row>
    <row r="33" spans="1:29" ht="18.75" customHeight="1" x14ac:dyDescent="0.2">
      <c r="A33" s="52"/>
      <c r="B33" s="53"/>
      <c r="C33" s="53"/>
      <c r="D33" s="53"/>
      <c r="E33" s="53"/>
      <c r="F33" s="53"/>
      <c r="G33" s="53"/>
      <c r="H33" s="53"/>
      <c r="I33" s="53"/>
      <c r="J33" s="48"/>
      <c r="K33" s="48"/>
      <c r="L33" s="48"/>
      <c r="M33" s="48"/>
      <c r="N33" s="48"/>
      <c r="O33" s="48"/>
      <c r="P33" s="48"/>
      <c r="Q33" s="48"/>
      <c r="R33" s="48"/>
      <c r="S33" s="48"/>
      <c r="T33" s="48"/>
      <c r="U33" s="48"/>
      <c r="V33" s="48"/>
      <c r="W33" s="48"/>
      <c r="X33" s="48"/>
      <c r="Y33" s="48"/>
      <c r="Z33" s="48"/>
      <c r="AA33" s="48"/>
    </row>
    <row r="34" spans="1:29" ht="15" customHeight="1" x14ac:dyDescent="0.2">
      <c r="A34" s="12"/>
      <c r="B34" s="12"/>
      <c r="J34" s="12"/>
      <c r="K34" s="12"/>
      <c r="L34" s="12"/>
      <c r="M34" s="12"/>
      <c r="N34" s="12"/>
      <c r="O34" s="12"/>
      <c r="P34" s="12"/>
      <c r="Q34" s="12"/>
      <c r="R34" s="12"/>
      <c r="S34" s="12"/>
      <c r="T34" s="12"/>
      <c r="U34" s="12"/>
      <c r="V34" s="12"/>
      <c r="W34" s="143"/>
      <c r="X34" s="143"/>
      <c r="Y34" s="99"/>
      <c r="Z34" s="145"/>
      <c r="AA34" s="153"/>
    </row>
    <row r="35" spans="1:29" ht="15.75" customHeight="1" x14ac:dyDescent="0.2">
      <c r="A35" s="144" t="s">
        <v>55</v>
      </c>
      <c r="B35" s="144"/>
      <c r="C35" s="144"/>
      <c r="D35" s="144"/>
      <c r="E35" s="144"/>
      <c r="F35" s="144"/>
      <c r="G35" s="144"/>
      <c r="H35" s="144"/>
      <c r="I35" s="144"/>
      <c r="J35" s="144"/>
      <c r="K35" s="144"/>
      <c r="L35" s="144"/>
      <c r="M35" s="144"/>
      <c r="N35" s="144"/>
      <c r="O35" s="144"/>
      <c r="P35" s="144"/>
      <c r="Q35" s="144"/>
      <c r="R35" s="144"/>
      <c r="S35" s="144"/>
      <c r="T35" s="144"/>
      <c r="U35" s="144"/>
      <c r="V35" s="144"/>
      <c r="W35" s="143"/>
      <c r="X35" s="143"/>
      <c r="Y35" s="99"/>
      <c r="Z35" s="145"/>
      <c r="AA35" s="153"/>
    </row>
    <row r="36" spans="1:29" ht="26.25" customHeight="1" x14ac:dyDescent="0.25">
      <c r="A36" s="70" t="s">
        <v>52</v>
      </c>
      <c r="B36" s="49"/>
      <c r="C36" s="49"/>
      <c r="D36" s="49"/>
      <c r="E36" s="49"/>
      <c r="F36" s="49"/>
      <c r="G36" s="49"/>
      <c r="H36" s="49"/>
      <c r="I36" s="49"/>
      <c r="J36" s="49"/>
      <c r="K36" s="49"/>
      <c r="L36" s="49"/>
      <c r="M36" s="49"/>
      <c r="N36" s="154"/>
      <c r="O36" s="155"/>
      <c r="P36" s="155"/>
      <c r="Q36" s="155"/>
      <c r="R36" s="78"/>
      <c r="S36" s="76" t="s">
        <v>43</v>
      </c>
      <c r="T36" s="58"/>
      <c r="U36" s="49"/>
      <c r="V36" s="58"/>
      <c r="W36" s="66"/>
      <c r="X36" s="66"/>
      <c r="Y36" s="12"/>
      <c r="Z36" s="67"/>
      <c r="AA36" s="68"/>
    </row>
    <row r="37" spans="1:29" ht="15" customHeight="1" x14ac:dyDescent="0.2">
      <c r="S37" s="12"/>
      <c r="T37" s="12"/>
      <c r="U37" s="12"/>
      <c r="V37" s="12"/>
      <c r="W37" s="12"/>
      <c r="Y37" s="12"/>
    </row>
    <row r="38" spans="1:29" s="69" customFormat="1" ht="15" customHeight="1" x14ac:dyDescent="0.25">
      <c r="A38" s="144"/>
      <c r="B38" s="148"/>
      <c r="C38" s="148"/>
      <c r="D38" s="148"/>
      <c r="E38" s="148"/>
      <c r="F38" s="148"/>
      <c r="G38" s="148"/>
      <c r="H38" s="148"/>
      <c r="I38" s="148"/>
      <c r="J38" s="148"/>
      <c r="K38" s="148"/>
      <c r="L38" s="148"/>
      <c r="M38" s="58"/>
      <c r="N38" s="87"/>
      <c r="O38" s="54"/>
      <c r="P38" s="54"/>
      <c r="Q38" s="147"/>
      <c r="R38" s="147"/>
      <c r="S38" s="147"/>
      <c r="T38" s="147"/>
      <c r="U38" s="147"/>
      <c r="V38" s="147"/>
      <c r="W38" s="57"/>
      <c r="X38" s="56"/>
      <c r="Z38" s="56"/>
      <c r="AA38" s="56"/>
      <c r="AB38" s="57"/>
      <c r="AC38" s="57"/>
    </row>
    <row r="39" spans="1:29" s="69" customFormat="1" ht="15" customHeight="1" x14ac:dyDescent="0.25">
      <c r="A39" s="149"/>
      <c r="B39" s="149"/>
      <c r="C39" s="149"/>
      <c r="D39" s="149"/>
      <c r="E39" s="149"/>
      <c r="F39" s="149"/>
      <c r="G39" s="149"/>
      <c r="H39" s="149"/>
      <c r="I39" s="149"/>
      <c r="J39" s="149"/>
      <c r="K39" s="149"/>
      <c r="L39" s="149"/>
      <c r="M39" s="58"/>
      <c r="N39" s="88"/>
      <c r="O39" s="54"/>
      <c r="P39" s="54"/>
      <c r="Q39" s="55"/>
      <c r="R39" s="55"/>
      <c r="S39" s="55"/>
      <c r="T39" s="55"/>
      <c r="U39" s="56"/>
      <c r="Y39" s="49"/>
      <c r="Z39" s="49"/>
      <c r="AA39" s="49"/>
      <c r="AB39" s="57"/>
      <c r="AC39" s="57"/>
    </row>
    <row r="40" spans="1:29" ht="16.5" x14ac:dyDescent="0.25">
      <c r="A40" s="84"/>
      <c r="B40" s="85"/>
      <c r="C40" s="85"/>
      <c r="D40" s="85"/>
      <c r="E40" s="85"/>
      <c r="F40" s="85"/>
      <c r="G40" s="85"/>
      <c r="H40" s="85"/>
      <c r="I40" s="85"/>
      <c r="J40" s="92"/>
      <c r="K40" s="92"/>
      <c r="L40" s="92"/>
      <c r="M40" s="92"/>
      <c r="N40" s="93"/>
      <c r="O40" s="54"/>
      <c r="P40" s="54"/>
      <c r="R40" s="49"/>
      <c r="S40" s="49"/>
      <c r="T40" s="49"/>
      <c r="U40" s="12"/>
      <c r="V40" s="12"/>
      <c r="W40" s="12"/>
      <c r="X40" s="12"/>
      <c r="Y40" s="59"/>
      <c r="Z40" s="59"/>
      <c r="AA40" s="59"/>
    </row>
    <row r="41" spans="1:29" ht="15.75" customHeight="1" x14ac:dyDescent="0.25">
      <c r="A41" s="80"/>
      <c r="B41" s="62"/>
      <c r="C41" s="16"/>
      <c r="D41" s="16"/>
      <c r="E41" s="16"/>
      <c r="F41" s="16"/>
      <c r="G41" s="16"/>
      <c r="H41" s="16"/>
      <c r="I41" s="16"/>
      <c r="J41" s="89"/>
      <c r="K41" s="89"/>
      <c r="L41" s="89"/>
      <c r="M41" s="89"/>
      <c r="N41" s="94"/>
      <c r="O41" s="54"/>
      <c r="P41" s="54"/>
      <c r="Q41" s="60"/>
      <c r="R41" s="61"/>
      <c r="S41" s="61"/>
      <c r="U41" s="12"/>
      <c r="V41" s="12"/>
      <c r="W41" s="12"/>
      <c r="X41" s="12"/>
      <c r="Y41" s="12"/>
    </row>
    <row r="42" spans="1:29" ht="17.25" customHeight="1" x14ac:dyDescent="0.25">
      <c r="A42" s="79" t="s">
        <v>21</v>
      </c>
      <c r="B42" s="16"/>
      <c r="C42" s="16"/>
      <c r="D42" s="16"/>
      <c r="E42" s="16"/>
      <c r="F42" s="16"/>
      <c r="G42" s="16"/>
      <c r="H42" s="16"/>
      <c r="I42" s="77"/>
      <c r="J42" s="73"/>
      <c r="K42" s="73"/>
      <c r="L42" s="73"/>
      <c r="M42" s="73"/>
      <c r="N42" s="95"/>
      <c r="O42" s="54"/>
      <c r="P42" s="54"/>
      <c r="Q42" s="49"/>
      <c r="R42" s="49"/>
      <c r="S42" s="49"/>
    </row>
    <row r="43" spans="1:29" ht="15" customHeight="1" x14ac:dyDescent="0.25">
      <c r="A43" s="80"/>
      <c r="B43" s="62"/>
      <c r="C43" s="16"/>
      <c r="D43" s="16"/>
      <c r="E43" s="16"/>
      <c r="F43" s="16"/>
      <c r="G43" s="16"/>
      <c r="H43" s="16"/>
      <c r="I43" s="16"/>
      <c r="J43" s="72"/>
      <c r="K43" s="72"/>
      <c r="L43" s="72"/>
      <c r="M43" s="72"/>
      <c r="N43" s="96"/>
      <c r="Q43" s="49"/>
      <c r="R43" s="49"/>
      <c r="S43" s="49"/>
      <c r="T43" s="49"/>
      <c r="U43" s="49"/>
      <c r="V43" s="49"/>
      <c r="W43" s="49"/>
      <c r="X43" s="49"/>
      <c r="Y43" s="49"/>
      <c r="Z43" s="49"/>
      <c r="AA43" s="49"/>
    </row>
    <row r="44" spans="1:29" ht="15" customHeight="1" x14ac:dyDescent="0.25">
      <c r="A44" s="80"/>
      <c r="B44" s="62"/>
      <c r="C44" s="16"/>
      <c r="D44" s="16"/>
      <c r="E44" s="16"/>
      <c r="F44" s="16"/>
      <c r="G44" s="16"/>
      <c r="H44" s="16"/>
      <c r="I44" s="16"/>
      <c r="J44" s="122" t="s">
        <v>15</v>
      </c>
      <c r="K44" s="122"/>
      <c r="L44" s="122"/>
      <c r="M44" s="122"/>
      <c r="N44" s="94"/>
      <c r="U44" s="49"/>
      <c r="V44" s="49"/>
      <c r="W44" s="49"/>
      <c r="X44" s="49"/>
      <c r="Y44" s="49"/>
      <c r="Z44" s="49"/>
      <c r="AA44" s="49"/>
    </row>
    <row r="45" spans="1:29" ht="15" customHeight="1" x14ac:dyDescent="0.2">
      <c r="A45" s="80" t="s">
        <v>14</v>
      </c>
      <c r="B45" s="91"/>
      <c r="C45" s="91"/>
      <c r="D45" s="91"/>
      <c r="E45" s="91"/>
      <c r="F45" s="91"/>
      <c r="G45" s="91"/>
      <c r="H45" s="91"/>
      <c r="I45" s="86"/>
      <c r="J45" s="122"/>
      <c r="K45" s="122"/>
      <c r="L45" s="122"/>
      <c r="M45" s="122"/>
      <c r="N45" s="94"/>
      <c r="O45" s="48"/>
      <c r="P45" s="48"/>
      <c r="Q45" s="48"/>
      <c r="R45" s="48"/>
      <c r="S45" s="48"/>
      <c r="T45" s="48"/>
      <c r="U45" s="48"/>
      <c r="V45" s="48"/>
      <c r="W45" s="48"/>
      <c r="X45" s="48"/>
      <c r="Y45" s="48"/>
      <c r="Z45" s="48"/>
      <c r="AA45" s="48"/>
    </row>
    <row r="46" spans="1:29" ht="15.75" x14ac:dyDescent="0.25">
      <c r="A46" s="81"/>
      <c r="B46" s="82"/>
      <c r="C46" s="83"/>
      <c r="D46" s="83"/>
      <c r="E46" s="83"/>
      <c r="F46" s="83"/>
      <c r="G46" s="83"/>
      <c r="H46" s="83"/>
      <c r="I46" s="83"/>
      <c r="J46" s="146"/>
      <c r="K46" s="146"/>
      <c r="L46" s="146"/>
      <c r="M46" s="146"/>
      <c r="N46" s="97"/>
      <c r="O46" s="48"/>
      <c r="P46" s="137" t="s">
        <v>22</v>
      </c>
      <c r="Q46" s="137"/>
      <c r="R46" s="137"/>
      <c r="S46" s="154"/>
      <c r="T46" s="155"/>
      <c r="U46" s="155"/>
      <c r="V46" s="155"/>
      <c r="W46" s="155"/>
      <c r="X46" s="12"/>
      <c r="Y46" s="156"/>
      <c r="Z46" s="156"/>
      <c r="AA46" s="71" t="s">
        <v>17</v>
      </c>
    </row>
    <row r="47" spans="1:29" ht="16.5" customHeight="1" x14ac:dyDescent="0.2">
      <c r="A47" s="81"/>
      <c r="B47" s="82"/>
      <c r="C47" s="83"/>
      <c r="D47" s="83"/>
      <c r="E47" s="83"/>
      <c r="F47" s="83"/>
      <c r="G47" s="83"/>
      <c r="H47" s="83"/>
      <c r="I47" s="83"/>
      <c r="J47" s="90"/>
      <c r="K47" s="90"/>
      <c r="L47" s="90"/>
      <c r="M47" s="90"/>
      <c r="N47" s="97"/>
      <c r="O47" s="48"/>
      <c r="P47" s="48"/>
      <c r="Q47" s="48"/>
      <c r="R47" s="48"/>
      <c r="S47" s="136" t="s">
        <v>18</v>
      </c>
      <c r="T47" s="136"/>
      <c r="U47" s="136"/>
      <c r="V47" s="136"/>
      <c r="W47" s="142"/>
      <c r="X47" s="12"/>
      <c r="Y47" s="136"/>
      <c r="Z47" s="136"/>
      <c r="AA47" s="12"/>
    </row>
    <row r="48" spans="1:29" ht="15" x14ac:dyDescent="0.2">
      <c r="A48" s="12"/>
      <c r="B48" s="12"/>
      <c r="J48" s="12"/>
      <c r="K48" s="12"/>
      <c r="L48" s="12"/>
      <c r="M48" s="12"/>
      <c r="N48" s="12"/>
      <c r="O48" s="48"/>
      <c r="P48" s="48"/>
      <c r="Q48" s="48"/>
      <c r="R48" s="48"/>
      <c r="S48" s="48"/>
      <c r="T48" s="48"/>
      <c r="U48" s="48"/>
      <c r="V48" s="48"/>
      <c r="W48" s="48"/>
      <c r="X48" s="48"/>
      <c r="Y48" s="48"/>
      <c r="Z48" s="48"/>
      <c r="AA48" s="48"/>
    </row>
    <row r="49" spans="1:27" ht="15" x14ac:dyDescent="0.2">
      <c r="A49" s="12"/>
      <c r="B49" s="12"/>
      <c r="J49" s="12"/>
      <c r="K49" s="12"/>
      <c r="L49" s="12"/>
      <c r="M49" s="12"/>
      <c r="N49" s="12"/>
      <c r="O49" s="48"/>
      <c r="P49" s="48"/>
      <c r="Q49" s="48"/>
      <c r="R49" s="48"/>
      <c r="S49" s="48"/>
      <c r="T49" s="48"/>
      <c r="U49" s="48"/>
      <c r="V49" s="48"/>
      <c r="W49" s="48"/>
      <c r="X49" s="48"/>
      <c r="Y49" s="48"/>
      <c r="Z49" s="48"/>
      <c r="AA49" s="48"/>
    </row>
    <row r="50" spans="1:27" ht="15" hidden="1" x14ac:dyDescent="0.2">
      <c r="B50" s="62"/>
      <c r="C50" s="16"/>
      <c r="D50" s="16"/>
      <c r="E50" s="16"/>
      <c r="F50" s="16"/>
      <c r="G50" s="16"/>
      <c r="H50" s="16"/>
      <c r="I50" s="16"/>
      <c r="J50" s="48"/>
      <c r="K50" s="48"/>
      <c r="L50" s="48"/>
      <c r="M50" s="48"/>
      <c r="N50" s="48"/>
      <c r="O50" s="48"/>
      <c r="P50" s="48"/>
      <c r="Q50" s="48"/>
      <c r="R50" s="48"/>
      <c r="S50" s="48"/>
      <c r="T50" s="48"/>
      <c r="U50" s="48"/>
      <c r="V50" s="48"/>
      <c r="W50" s="48"/>
      <c r="X50" s="48"/>
      <c r="Y50" s="48"/>
      <c r="Z50" s="48"/>
      <c r="AA50" s="48"/>
    </row>
    <row r="51" spans="1:27" ht="15" hidden="1" x14ac:dyDescent="0.2">
      <c r="B51" s="62"/>
      <c r="C51" s="16"/>
      <c r="D51" s="16"/>
      <c r="E51" s="16"/>
      <c r="F51" s="16"/>
      <c r="G51" s="16"/>
      <c r="H51" s="16"/>
      <c r="I51" s="16"/>
      <c r="J51" s="48"/>
      <c r="K51" s="48"/>
      <c r="L51" s="48"/>
      <c r="M51" s="48"/>
      <c r="N51" s="48"/>
      <c r="O51" s="48"/>
      <c r="P51" s="48"/>
      <c r="Q51" s="48"/>
      <c r="R51" s="48"/>
      <c r="S51" s="48"/>
      <c r="T51" s="48"/>
      <c r="U51" s="48"/>
      <c r="V51" s="48"/>
      <c r="W51" s="48"/>
      <c r="X51" s="48"/>
      <c r="Y51" s="48"/>
      <c r="Z51" s="48"/>
      <c r="AA51" s="48"/>
    </row>
    <row r="52" spans="1:27" ht="15" hidden="1" x14ac:dyDescent="0.2">
      <c r="B52" s="62"/>
      <c r="C52" s="16"/>
      <c r="D52" s="16"/>
      <c r="E52" s="16"/>
      <c r="F52" s="16"/>
      <c r="G52" s="16"/>
      <c r="H52" s="16"/>
      <c r="I52" s="16"/>
      <c r="J52" s="48"/>
      <c r="K52" s="48"/>
      <c r="L52" s="48"/>
      <c r="M52" s="48"/>
      <c r="N52" s="48"/>
      <c r="O52" s="48"/>
      <c r="P52" s="48"/>
      <c r="Q52" s="48"/>
      <c r="R52" s="48"/>
      <c r="S52" s="48"/>
      <c r="T52" s="48"/>
      <c r="U52" s="48"/>
      <c r="V52" s="48"/>
      <c r="W52" s="48"/>
      <c r="X52" s="48"/>
      <c r="Y52" s="48"/>
      <c r="Z52" s="48"/>
      <c r="AA52" s="48"/>
    </row>
    <row r="53" spans="1:27" ht="15" hidden="1" x14ac:dyDescent="0.2">
      <c r="B53" s="62"/>
      <c r="C53" s="16"/>
      <c r="D53" s="16"/>
      <c r="E53" s="16"/>
      <c r="F53" s="16"/>
      <c r="G53" s="16"/>
      <c r="H53" s="16"/>
      <c r="I53" s="16"/>
      <c r="J53" s="48"/>
      <c r="K53" s="48"/>
      <c r="L53" s="48"/>
      <c r="M53" s="48"/>
      <c r="N53" s="48"/>
      <c r="O53" s="48"/>
      <c r="P53" s="48"/>
      <c r="Q53" s="48"/>
      <c r="R53" s="48"/>
      <c r="S53" s="48"/>
      <c r="T53" s="48"/>
      <c r="U53" s="48"/>
      <c r="V53" s="48"/>
      <c r="W53" s="48"/>
      <c r="X53" s="48"/>
      <c r="Y53" s="48"/>
      <c r="Z53" s="48"/>
      <c r="AA53" s="48"/>
    </row>
    <row r="54" spans="1:27" ht="15" hidden="1" x14ac:dyDescent="0.2">
      <c r="B54" s="62"/>
      <c r="C54" s="16"/>
      <c r="D54" s="16"/>
      <c r="E54" s="16"/>
      <c r="F54" s="16"/>
      <c r="G54" s="16"/>
      <c r="H54" s="16"/>
      <c r="I54" s="16"/>
      <c r="J54" s="48"/>
      <c r="K54" s="48"/>
      <c r="L54" s="48"/>
      <c r="M54" s="48"/>
      <c r="N54" s="48"/>
      <c r="O54" s="48"/>
      <c r="P54" s="48"/>
      <c r="Q54" s="48"/>
      <c r="R54" s="48"/>
      <c r="S54" s="48"/>
      <c r="T54" s="48"/>
      <c r="U54" s="48"/>
      <c r="V54" s="48"/>
      <c r="W54" s="48"/>
      <c r="X54" s="48"/>
      <c r="Y54" s="48"/>
      <c r="Z54" s="48"/>
      <c r="AA54" s="48"/>
    </row>
    <row r="55" spans="1:27" ht="15" hidden="1" x14ac:dyDescent="0.2">
      <c r="B55" s="62"/>
      <c r="C55" s="16"/>
      <c r="D55" s="16"/>
      <c r="E55" s="16"/>
      <c r="F55" s="16"/>
      <c r="G55" s="16"/>
      <c r="H55" s="16"/>
      <c r="I55" s="16"/>
      <c r="J55" s="48"/>
      <c r="K55" s="48"/>
      <c r="L55" s="48"/>
      <c r="M55" s="48"/>
      <c r="N55" s="48"/>
      <c r="O55" s="48"/>
      <c r="P55" s="48"/>
      <c r="Q55" s="48"/>
      <c r="R55" s="48"/>
      <c r="S55" s="48"/>
      <c r="T55" s="48"/>
      <c r="U55" s="48"/>
      <c r="V55" s="48"/>
      <c r="W55" s="48"/>
      <c r="X55" s="48"/>
      <c r="Y55" s="48"/>
      <c r="Z55" s="48"/>
      <c r="AA55" s="48"/>
    </row>
    <row r="56" spans="1:27" ht="15" hidden="1" x14ac:dyDescent="0.2">
      <c r="B56" s="62"/>
      <c r="C56" s="16"/>
      <c r="D56" s="16"/>
      <c r="E56" s="16"/>
      <c r="F56" s="16"/>
      <c r="G56" s="16"/>
      <c r="H56" s="16"/>
      <c r="I56" s="16"/>
      <c r="J56" s="48"/>
      <c r="K56" s="48"/>
      <c r="L56" s="48"/>
      <c r="M56" s="48"/>
      <c r="N56" s="48"/>
      <c r="O56" s="48"/>
      <c r="P56" s="48"/>
      <c r="Q56" s="48"/>
      <c r="R56" s="48"/>
      <c r="S56" s="48"/>
      <c r="T56" s="48"/>
      <c r="U56" s="48"/>
      <c r="V56" s="48"/>
      <c r="W56" s="48"/>
      <c r="X56" s="48"/>
      <c r="Y56" s="48"/>
      <c r="Z56" s="48"/>
      <c r="AA56" s="48"/>
    </row>
    <row r="57" spans="1:27" ht="15" hidden="1" x14ac:dyDescent="0.2">
      <c r="B57" s="62"/>
      <c r="C57" s="16"/>
      <c r="D57" s="16"/>
      <c r="E57" s="16"/>
      <c r="F57" s="16"/>
      <c r="G57" s="16"/>
      <c r="H57" s="16"/>
      <c r="I57" s="16"/>
      <c r="J57" s="48"/>
      <c r="K57" s="48"/>
      <c r="L57" s="48"/>
      <c r="M57" s="48"/>
      <c r="N57" s="48"/>
      <c r="O57" s="48"/>
      <c r="P57" s="48"/>
      <c r="Q57" s="48"/>
      <c r="R57" s="48"/>
      <c r="S57" s="48"/>
      <c r="T57" s="48"/>
      <c r="U57" s="48"/>
      <c r="V57" s="48"/>
      <c r="W57" s="48"/>
      <c r="X57" s="48"/>
      <c r="Y57" s="48"/>
      <c r="Z57" s="48"/>
      <c r="AA57" s="48"/>
    </row>
    <row r="58" spans="1:27" ht="15" hidden="1" x14ac:dyDescent="0.2">
      <c r="B58" s="62"/>
      <c r="C58" s="16"/>
      <c r="D58" s="16"/>
      <c r="E58" s="16"/>
      <c r="F58" s="16"/>
      <c r="G58" s="16"/>
      <c r="H58" s="16"/>
      <c r="I58" s="16"/>
      <c r="J58" s="48"/>
      <c r="K58" s="48"/>
      <c r="L58" s="48"/>
      <c r="M58" s="48"/>
      <c r="N58" s="48"/>
      <c r="O58" s="48"/>
      <c r="P58" s="48"/>
      <c r="Q58" s="48"/>
      <c r="R58" s="48"/>
      <c r="S58" s="48"/>
      <c r="T58" s="48"/>
      <c r="U58" s="48"/>
      <c r="V58" s="48"/>
      <c r="W58" s="48"/>
      <c r="X58" s="48"/>
      <c r="Y58" s="48"/>
      <c r="Z58" s="48"/>
      <c r="AA58" s="48"/>
    </row>
    <row r="59" spans="1:27" ht="15" hidden="1" x14ac:dyDescent="0.2">
      <c r="B59" s="62"/>
      <c r="C59" s="16"/>
      <c r="D59" s="16"/>
      <c r="E59" s="16"/>
      <c r="F59" s="16"/>
      <c r="G59" s="16"/>
      <c r="H59" s="16"/>
      <c r="I59" s="16"/>
      <c r="J59" s="48"/>
      <c r="K59" s="48"/>
      <c r="L59" s="48"/>
      <c r="M59" s="48"/>
      <c r="N59" s="48"/>
      <c r="O59" s="48"/>
      <c r="P59" s="48"/>
      <c r="Q59" s="48"/>
      <c r="R59" s="48"/>
      <c r="S59" s="48"/>
      <c r="T59" s="48"/>
      <c r="U59" s="48"/>
      <c r="V59" s="48"/>
      <c r="W59" s="48"/>
      <c r="X59" s="48"/>
      <c r="Y59" s="48"/>
      <c r="Z59" s="48"/>
      <c r="AA59" s="48"/>
    </row>
    <row r="60" spans="1:27" ht="15" hidden="1" x14ac:dyDescent="0.2">
      <c r="B60" s="62"/>
      <c r="C60" s="16"/>
      <c r="D60" s="16"/>
      <c r="E60" s="16"/>
      <c r="F60" s="16"/>
      <c r="G60" s="16"/>
      <c r="H60" s="16"/>
      <c r="I60" s="16"/>
      <c r="J60" s="48"/>
      <c r="K60" s="48"/>
      <c r="L60" s="48"/>
      <c r="M60" s="48"/>
      <c r="N60" s="48"/>
      <c r="O60" s="48"/>
      <c r="P60" s="48"/>
      <c r="Q60" s="48"/>
      <c r="R60" s="48"/>
      <c r="S60" s="48"/>
      <c r="T60" s="48"/>
      <c r="U60" s="48"/>
      <c r="V60" s="48"/>
      <c r="W60" s="48"/>
      <c r="X60" s="48"/>
      <c r="Y60" s="48"/>
      <c r="Z60" s="48"/>
      <c r="AA60" s="48"/>
    </row>
    <row r="61" spans="1:27" ht="15" hidden="1" x14ac:dyDescent="0.2">
      <c r="B61" s="62"/>
      <c r="C61" s="16"/>
      <c r="D61" s="16"/>
      <c r="E61" s="16"/>
      <c r="F61" s="16"/>
      <c r="G61" s="16"/>
      <c r="H61" s="16"/>
      <c r="I61" s="16"/>
      <c r="J61" s="48"/>
      <c r="K61" s="48"/>
      <c r="L61" s="48"/>
      <c r="M61" s="48"/>
      <c r="N61" s="48"/>
      <c r="O61" s="48"/>
      <c r="P61" s="48"/>
      <c r="Q61" s="48"/>
      <c r="R61" s="48"/>
      <c r="S61" s="48"/>
      <c r="T61" s="48"/>
      <c r="U61" s="48"/>
      <c r="V61" s="48"/>
      <c r="W61" s="48"/>
      <c r="X61" s="48"/>
      <c r="Y61" s="48"/>
      <c r="Z61" s="48"/>
      <c r="AA61" s="48"/>
    </row>
    <row r="62" spans="1:27" ht="15" hidden="1" x14ac:dyDescent="0.2">
      <c r="B62" s="62"/>
      <c r="C62" s="16"/>
      <c r="D62" s="16"/>
      <c r="E62" s="16"/>
      <c r="F62" s="16"/>
      <c r="G62" s="16"/>
      <c r="H62" s="16"/>
      <c r="I62" s="16"/>
      <c r="J62" s="48"/>
      <c r="K62" s="48"/>
      <c r="L62" s="48"/>
      <c r="M62" s="48"/>
      <c r="N62" s="48"/>
      <c r="O62" s="48"/>
      <c r="P62" s="48"/>
      <c r="Q62" s="48"/>
      <c r="R62" s="48"/>
      <c r="S62" s="48"/>
      <c r="T62" s="48"/>
      <c r="U62" s="48"/>
      <c r="V62" s="48"/>
      <c r="W62" s="48"/>
      <c r="X62" s="48"/>
      <c r="Y62" s="48"/>
      <c r="Z62" s="48"/>
      <c r="AA62" s="48"/>
    </row>
    <row r="63" spans="1:27" ht="15" hidden="1" x14ac:dyDescent="0.2">
      <c r="B63" s="62"/>
      <c r="C63" s="16"/>
      <c r="D63" s="16"/>
      <c r="E63" s="16"/>
      <c r="F63" s="16"/>
      <c r="G63" s="16"/>
      <c r="H63" s="16"/>
      <c r="I63" s="16"/>
      <c r="J63" s="48"/>
      <c r="K63" s="48"/>
      <c r="L63" s="48"/>
      <c r="M63" s="48"/>
      <c r="N63" s="48"/>
      <c r="O63" s="48"/>
      <c r="P63" s="48"/>
      <c r="Q63" s="48"/>
      <c r="R63" s="48"/>
      <c r="S63" s="48"/>
      <c r="T63" s="48"/>
      <c r="U63" s="48"/>
      <c r="V63" s="48"/>
      <c r="W63" s="48"/>
      <c r="X63" s="48"/>
      <c r="Y63" s="48"/>
      <c r="Z63" s="48"/>
      <c r="AA63" s="48"/>
    </row>
    <row r="64" spans="1:27" ht="15" hidden="1" x14ac:dyDescent="0.2">
      <c r="B64" s="62"/>
      <c r="C64" s="16"/>
      <c r="D64" s="16"/>
      <c r="E64" s="16"/>
      <c r="F64" s="16"/>
      <c r="G64" s="16"/>
      <c r="H64" s="16"/>
      <c r="I64" s="16"/>
      <c r="J64" s="48"/>
      <c r="K64" s="48"/>
      <c r="L64" s="48"/>
      <c r="M64" s="48"/>
      <c r="N64" s="48"/>
      <c r="O64" s="48"/>
      <c r="P64" s="48"/>
      <c r="Q64" s="48"/>
      <c r="R64" s="48"/>
      <c r="S64" s="48"/>
      <c r="T64" s="48"/>
      <c r="U64" s="48"/>
      <c r="V64" s="48"/>
      <c r="W64" s="48"/>
      <c r="X64" s="48"/>
      <c r="Y64" s="48"/>
      <c r="Z64" s="48"/>
      <c r="AA64" s="48"/>
    </row>
    <row r="65" spans="2:27" ht="15" hidden="1" x14ac:dyDescent="0.2">
      <c r="B65" s="62"/>
      <c r="C65" s="16"/>
      <c r="D65" s="16"/>
      <c r="E65" s="16"/>
      <c r="F65" s="16"/>
      <c r="G65" s="16"/>
      <c r="H65" s="16"/>
      <c r="I65" s="16"/>
      <c r="J65" s="48"/>
      <c r="K65" s="48"/>
      <c r="L65" s="48"/>
      <c r="M65" s="48"/>
      <c r="N65" s="48"/>
      <c r="O65" s="48"/>
      <c r="P65" s="48"/>
      <c r="Q65" s="48"/>
      <c r="R65" s="48"/>
      <c r="S65" s="48"/>
      <c r="T65" s="48"/>
      <c r="U65" s="48"/>
      <c r="V65" s="48"/>
      <c r="W65" s="48"/>
      <c r="X65" s="48"/>
      <c r="Y65" s="48"/>
      <c r="Z65" s="48"/>
      <c r="AA65" s="48"/>
    </row>
    <row r="66" spans="2:27" ht="15" hidden="1" x14ac:dyDescent="0.2">
      <c r="B66" s="62"/>
      <c r="C66" s="16"/>
      <c r="D66" s="16"/>
      <c r="E66" s="16"/>
      <c r="F66" s="16"/>
      <c r="G66" s="16"/>
      <c r="H66" s="16"/>
      <c r="I66" s="16"/>
      <c r="J66" s="48"/>
      <c r="K66" s="48"/>
      <c r="L66" s="48"/>
      <c r="M66" s="48"/>
      <c r="N66" s="48"/>
      <c r="O66" s="48"/>
      <c r="P66" s="48"/>
      <c r="Q66" s="48"/>
      <c r="R66" s="48"/>
      <c r="S66" s="48"/>
      <c r="T66" s="48"/>
      <c r="U66" s="48"/>
      <c r="V66" s="48"/>
      <c r="W66" s="48"/>
      <c r="X66" s="48"/>
      <c r="Y66" s="48"/>
      <c r="Z66" s="48"/>
      <c r="AA66" s="48"/>
    </row>
    <row r="67" spans="2:27" ht="15" hidden="1" x14ac:dyDescent="0.2">
      <c r="B67" s="62"/>
      <c r="C67" s="16"/>
      <c r="D67" s="16"/>
      <c r="E67" s="16"/>
      <c r="F67" s="16"/>
      <c r="G67" s="16"/>
      <c r="H67" s="16"/>
      <c r="I67" s="16"/>
      <c r="J67" s="48"/>
      <c r="K67" s="48"/>
      <c r="L67" s="48"/>
      <c r="M67" s="48"/>
      <c r="N67" s="48"/>
      <c r="O67" s="48"/>
      <c r="P67" s="48"/>
      <c r="Q67" s="48"/>
      <c r="R67" s="48"/>
      <c r="S67" s="48"/>
      <c r="T67" s="48"/>
      <c r="U67" s="48"/>
      <c r="V67" s="48"/>
      <c r="W67" s="48"/>
      <c r="X67" s="48"/>
      <c r="Y67" s="48"/>
      <c r="Z67" s="48"/>
      <c r="AA67" s="48"/>
    </row>
    <row r="68" spans="2:27" ht="15" hidden="1" x14ac:dyDescent="0.2">
      <c r="B68" s="62"/>
      <c r="C68" s="16"/>
      <c r="D68" s="16"/>
      <c r="E68" s="16"/>
      <c r="F68" s="16"/>
      <c r="G68" s="16"/>
      <c r="H68" s="16"/>
      <c r="I68" s="16"/>
      <c r="J68" s="48"/>
      <c r="K68" s="48"/>
      <c r="L68" s="48"/>
      <c r="M68" s="48"/>
      <c r="N68" s="48"/>
      <c r="O68" s="48"/>
      <c r="P68" s="48"/>
      <c r="Q68" s="48"/>
      <c r="R68" s="48"/>
      <c r="S68" s="48"/>
      <c r="T68" s="48"/>
      <c r="U68" s="48"/>
      <c r="V68" s="48"/>
      <c r="W68" s="48"/>
      <c r="X68" s="48"/>
      <c r="Y68" s="48"/>
      <c r="Z68" s="48"/>
      <c r="AA68" s="48"/>
    </row>
    <row r="69" spans="2:27" ht="15" hidden="1" x14ac:dyDescent="0.2">
      <c r="B69" s="62"/>
      <c r="C69" s="16"/>
      <c r="D69" s="16"/>
      <c r="E69" s="16"/>
      <c r="F69" s="16"/>
      <c r="G69" s="16"/>
      <c r="H69" s="16"/>
      <c r="I69" s="16"/>
      <c r="J69" s="48"/>
      <c r="K69" s="48"/>
      <c r="L69" s="48"/>
      <c r="M69" s="48"/>
      <c r="N69" s="48"/>
      <c r="O69" s="48"/>
      <c r="P69" s="48"/>
      <c r="Q69" s="48"/>
      <c r="R69" s="48"/>
      <c r="S69" s="48"/>
      <c r="T69" s="48"/>
      <c r="U69" s="48"/>
      <c r="V69" s="48"/>
      <c r="W69" s="48"/>
      <c r="X69" s="48"/>
      <c r="Y69" s="48"/>
      <c r="Z69" s="48"/>
      <c r="AA69" s="48"/>
    </row>
    <row r="70" spans="2:27" ht="15" hidden="1" x14ac:dyDescent="0.2">
      <c r="B70" s="62"/>
      <c r="C70" s="16"/>
      <c r="D70" s="16"/>
      <c r="E70" s="16"/>
      <c r="F70" s="16"/>
      <c r="G70" s="16"/>
      <c r="H70" s="16"/>
      <c r="I70" s="16"/>
      <c r="J70" s="48"/>
      <c r="K70" s="48"/>
      <c r="L70" s="48"/>
      <c r="M70" s="48"/>
      <c r="N70" s="48"/>
      <c r="O70" s="48"/>
      <c r="P70" s="48"/>
      <c r="Q70" s="48"/>
      <c r="R70" s="48"/>
      <c r="S70" s="48"/>
      <c r="T70" s="48"/>
      <c r="U70" s="48"/>
      <c r="V70" s="48"/>
      <c r="W70" s="48"/>
      <c r="X70" s="48"/>
      <c r="Y70" s="48"/>
      <c r="Z70" s="48"/>
      <c r="AA70" s="48"/>
    </row>
    <row r="71" spans="2:27" ht="15" hidden="1" x14ac:dyDescent="0.2">
      <c r="B71" s="62"/>
      <c r="C71" s="16"/>
      <c r="D71" s="16"/>
      <c r="E71" s="16"/>
      <c r="F71" s="16"/>
      <c r="G71" s="16"/>
      <c r="H71" s="16"/>
      <c r="I71" s="16"/>
      <c r="J71" s="48"/>
      <c r="K71" s="48"/>
      <c r="L71" s="48"/>
      <c r="M71" s="48"/>
      <c r="N71" s="48"/>
      <c r="O71" s="48"/>
      <c r="P71" s="48"/>
      <c r="Q71" s="48"/>
      <c r="R71" s="48"/>
      <c r="S71" s="48"/>
      <c r="T71" s="48"/>
      <c r="U71" s="48"/>
      <c r="V71" s="48"/>
      <c r="W71" s="48"/>
      <c r="X71" s="48"/>
      <c r="Y71" s="48"/>
      <c r="Z71" s="48"/>
      <c r="AA71" s="48"/>
    </row>
    <row r="72" spans="2:27" ht="15" hidden="1" x14ac:dyDescent="0.2">
      <c r="B72" s="62"/>
      <c r="C72" s="16"/>
      <c r="D72" s="16"/>
      <c r="E72" s="16"/>
      <c r="F72" s="16"/>
      <c r="G72" s="16"/>
      <c r="H72" s="16"/>
      <c r="I72" s="16"/>
      <c r="J72" s="48"/>
      <c r="K72" s="48"/>
      <c r="L72" s="48"/>
      <c r="M72" s="48"/>
      <c r="N72" s="48"/>
      <c r="O72" s="48"/>
      <c r="P72" s="48"/>
      <c r="Q72" s="48"/>
      <c r="R72" s="48"/>
      <c r="S72" s="48"/>
      <c r="T72" s="48"/>
      <c r="U72" s="48"/>
      <c r="V72" s="48"/>
      <c r="W72" s="48"/>
      <c r="X72" s="48"/>
      <c r="Y72" s="48"/>
      <c r="Z72" s="48"/>
      <c r="AA72" s="48"/>
    </row>
    <row r="73" spans="2:27" ht="15" hidden="1" x14ac:dyDescent="0.2">
      <c r="B73" s="62"/>
      <c r="C73" s="16"/>
      <c r="D73" s="16"/>
      <c r="E73" s="16"/>
      <c r="F73" s="16"/>
      <c r="G73" s="16"/>
      <c r="H73" s="16"/>
      <c r="I73" s="16"/>
      <c r="J73" s="48"/>
      <c r="K73" s="48"/>
      <c r="L73" s="48"/>
      <c r="M73" s="48"/>
      <c r="N73" s="48"/>
      <c r="O73" s="48"/>
      <c r="P73" s="48"/>
      <c r="Q73" s="48"/>
      <c r="R73" s="48"/>
      <c r="S73" s="48"/>
      <c r="T73" s="48"/>
      <c r="U73" s="48"/>
      <c r="V73" s="48"/>
      <c r="W73" s="48"/>
      <c r="X73" s="48"/>
      <c r="Y73" s="48"/>
      <c r="Z73" s="48"/>
      <c r="AA73" s="48"/>
    </row>
    <row r="74" spans="2:27" ht="15" hidden="1" x14ac:dyDescent="0.2">
      <c r="B74" s="62"/>
      <c r="C74" s="16"/>
      <c r="D74" s="16"/>
      <c r="E74" s="16"/>
      <c r="F74" s="16"/>
      <c r="G74" s="16"/>
      <c r="H74" s="16"/>
      <c r="I74" s="16"/>
      <c r="J74" s="48"/>
      <c r="K74" s="48"/>
      <c r="L74" s="48"/>
      <c r="M74" s="48"/>
      <c r="N74" s="48"/>
      <c r="O74" s="48"/>
      <c r="P74" s="48"/>
      <c r="Q74" s="48"/>
      <c r="R74" s="48"/>
      <c r="S74" s="48"/>
      <c r="T74" s="48"/>
      <c r="U74" s="48"/>
      <c r="V74" s="48"/>
      <c r="W74" s="48"/>
      <c r="X74" s="48"/>
      <c r="Y74" s="48"/>
      <c r="Z74" s="48"/>
      <c r="AA74" s="48"/>
    </row>
    <row r="75" spans="2:27" ht="15" hidden="1" x14ac:dyDescent="0.2">
      <c r="B75" s="62"/>
      <c r="C75" s="16"/>
      <c r="D75" s="16"/>
      <c r="E75" s="16"/>
      <c r="F75" s="16"/>
      <c r="G75" s="16"/>
      <c r="H75" s="16"/>
      <c r="I75" s="16"/>
      <c r="J75" s="48"/>
      <c r="K75" s="48"/>
      <c r="L75" s="48"/>
      <c r="M75" s="48"/>
      <c r="N75" s="48"/>
      <c r="O75" s="48"/>
      <c r="P75" s="48"/>
      <c r="Q75" s="48"/>
      <c r="R75" s="48"/>
      <c r="S75" s="48"/>
      <c r="T75" s="48"/>
      <c r="U75" s="48"/>
      <c r="V75" s="48"/>
      <c r="W75" s="48"/>
      <c r="X75" s="48"/>
      <c r="Y75" s="48"/>
      <c r="Z75" s="48"/>
      <c r="AA75" s="48"/>
    </row>
    <row r="76" spans="2:27" ht="15" hidden="1" x14ac:dyDescent="0.2">
      <c r="B76" s="62"/>
      <c r="C76" s="16"/>
      <c r="D76" s="16"/>
      <c r="E76" s="16"/>
      <c r="F76" s="16"/>
      <c r="G76" s="16"/>
      <c r="H76" s="16"/>
      <c r="I76" s="16"/>
      <c r="J76" s="48"/>
      <c r="K76" s="48"/>
      <c r="L76" s="48"/>
      <c r="M76" s="48"/>
      <c r="N76" s="48"/>
      <c r="O76" s="48"/>
      <c r="P76" s="48"/>
      <c r="Q76" s="48"/>
      <c r="R76" s="48"/>
      <c r="S76" s="48"/>
      <c r="T76" s="48"/>
      <c r="U76" s="48"/>
      <c r="V76" s="48"/>
      <c r="W76" s="48"/>
      <c r="X76" s="48"/>
      <c r="Y76" s="48"/>
      <c r="Z76" s="48"/>
      <c r="AA76" s="48"/>
    </row>
    <row r="77" spans="2:27" ht="15" hidden="1" x14ac:dyDescent="0.2">
      <c r="B77" s="62"/>
      <c r="C77" s="16"/>
      <c r="D77" s="16"/>
      <c r="E77" s="16"/>
      <c r="F77" s="16"/>
      <c r="G77" s="16"/>
      <c r="H77" s="16"/>
      <c r="I77" s="16"/>
      <c r="J77" s="48"/>
      <c r="K77" s="48"/>
      <c r="L77" s="48"/>
      <c r="M77" s="48"/>
      <c r="N77" s="48"/>
      <c r="O77" s="48"/>
      <c r="P77" s="48"/>
      <c r="Q77" s="48"/>
      <c r="R77" s="48"/>
      <c r="S77" s="48"/>
      <c r="T77" s="48"/>
      <c r="U77" s="48"/>
      <c r="V77" s="48"/>
      <c r="W77" s="48"/>
      <c r="X77" s="48"/>
      <c r="Y77" s="48"/>
      <c r="Z77" s="48"/>
      <c r="AA77" s="48"/>
    </row>
    <row r="78" spans="2:27" ht="15" hidden="1" x14ac:dyDescent="0.2">
      <c r="B78" s="62"/>
      <c r="C78" s="16"/>
      <c r="D78" s="16"/>
      <c r="E78" s="16"/>
      <c r="F78" s="16"/>
      <c r="G78" s="16"/>
      <c r="H78" s="16"/>
      <c r="I78" s="16"/>
      <c r="J78" s="48"/>
      <c r="K78" s="48"/>
      <c r="L78" s="48"/>
      <c r="M78" s="48"/>
      <c r="N78" s="48"/>
      <c r="O78" s="48"/>
      <c r="P78" s="48"/>
      <c r="Q78" s="48"/>
      <c r="R78" s="48"/>
      <c r="S78" s="48"/>
      <c r="T78" s="48"/>
      <c r="U78" s="48"/>
      <c r="V78" s="48"/>
      <c r="W78" s="48"/>
      <c r="X78" s="48"/>
      <c r="Y78" s="48"/>
      <c r="Z78" s="48"/>
      <c r="AA78" s="48"/>
    </row>
    <row r="79" spans="2:27" ht="15" hidden="1" x14ac:dyDescent="0.2">
      <c r="B79" s="62"/>
      <c r="C79" s="16"/>
      <c r="D79" s="16"/>
      <c r="E79" s="16"/>
      <c r="F79" s="16"/>
      <c r="G79" s="16"/>
      <c r="H79" s="16"/>
      <c r="I79" s="16"/>
      <c r="J79" s="48"/>
      <c r="K79" s="48"/>
      <c r="L79" s="48"/>
      <c r="M79" s="48"/>
      <c r="N79" s="48"/>
      <c r="O79" s="48"/>
      <c r="P79" s="48"/>
      <c r="Q79" s="48"/>
      <c r="R79" s="48"/>
      <c r="S79" s="48"/>
      <c r="T79" s="48"/>
      <c r="U79" s="48"/>
      <c r="V79" s="48"/>
      <c r="W79" s="48"/>
      <c r="X79" s="48"/>
      <c r="Y79" s="48"/>
      <c r="Z79" s="48"/>
      <c r="AA79" s="48"/>
    </row>
    <row r="80" spans="2:27" ht="15" hidden="1" x14ac:dyDescent="0.2">
      <c r="B80" s="62"/>
      <c r="C80" s="16"/>
      <c r="D80" s="16"/>
      <c r="E80" s="16"/>
      <c r="F80" s="16"/>
      <c r="G80" s="16"/>
      <c r="H80" s="16"/>
      <c r="I80" s="16"/>
      <c r="J80" s="48"/>
      <c r="K80" s="48"/>
      <c r="L80" s="48"/>
      <c r="M80" s="48"/>
      <c r="N80" s="48"/>
      <c r="O80" s="48"/>
      <c r="P80" s="48"/>
      <c r="Q80" s="48"/>
      <c r="R80" s="48"/>
      <c r="S80" s="48"/>
      <c r="T80" s="48"/>
      <c r="U80" s="48"/>
      <c r="V80" s="48"/>
      <c r="W80" s="48"/>
      <c r="X80" s="48"/>
      <c r="Y80" s="48"/>
      <c r="Z80" s="48"/>
      <c r="AA80" s="48"/>
    </row>
    <row r="81" spans="2:27" ht="15" hidden="1" x14ac:dyDescent="0.2">
      <c r="B81" s="62"/>
      <c r="C81" s="16"/>
      <c r="D81" s="16"/>
      <c r="E81" s="16"/>
      <c r="F81" s="16"/>
      <c r="G81" s="16"/>
      <c r="H81" s="16"/>
      <c r="I81" s="16"/>
      <c r="J81" s="48"/>
      <c r="K81" s="48"/>
      <c r="L81" s="48"/>
      <c r="M81" s="48"/>
      <c r="N81" s="48"/>
      <c r="O81" s="48"/>
      <c r="P81" s="48"/>
      <c r="Q81" s="48"/>
      <c r="R81" s="48"/>
      <c r="S81" s="48"/>
      <c r="T81" s="48"/>
      <c r="U81" s="48"/>
      <c r="V81" s="48"/>
      <c r="W81" s="48"/>
      <c r="X81" s="48"/>
      <c r="Y81" s="48"/>
      <c r="Z81" s="48"/>
      <c r="AA81" s="48"/>
    </row>
    <row r="82" spans="2:27" ht="15" hidden="1" x14ac:dyDescent="0.2">
      <c r="B82" s="62"/>
      <c r="C82" s="16"/>
      <c r="D82" s="16"/>
      <c r="E82" s="16"/>
      <c r="F82" s="16"/>
      <c r="G82" s="16"/>
      <c r="H82" s="16"/>
      <c r="I82" s="16"/>
      <c r="J82" s="48"/>
      <c r="K82" s="48"/>
      <c r="L82" s="48"/>
      <c r="M82" s="48"/>
      <c r="N82" s="48"/>
      <c r="O82" s="48"/>
      <c r="P82" s="48"/>
      <c r="Q82" s="48"/>
      <c r="R82" s="48"/>
      <c r="S82" s="48"/>
      <c r="T82" s="48"/>
      <c r="U82" s="48"/>
      <c r="V82" s="48"/>
      <c r="W82" s="48"/>
      <c r="X82" s="48"/>
      <c r="Y82" s="48"/>
      <c r="Z82" s="48"/>
      <c r="AA82" s="48"/>
    </row>
    <row r="83" spans="2:27" ht="15" hidden="1" x14ac:dyDescent="0.2">
      <c r="B83" s="62"/>
      <c r="C83" s="16"/>
      <c r="D83" s="16"/>
      <c r="E83" s="16"/>
      <c r="F83" s="16"/>
      <c r="G83" s="16"/>
      <c r="H83" s="16"/>
      <c r="I83" s="16"/>
      <c r="J83" s="48"/>
      <c r="K83" s="48"/>
      <c r="L83" s="48"/>
      <c r="M83" s="48"/>
      <c r="N83" s="48"/>
      <c r="O83" s="48"/>
      <c r="P83" s="48"/>
      <c r="Q83" s="48"/>
      <c r="R83" s="48"/>
      <c r="S83" s="48"/>
      <c r="T83" s="48"/>
      <c r="U83" s="48"/>
      <c r="V83" s="48"/>
      <c r="W83" s="48"/>
      <c r="X83" s="48"/>
      <c r="Y83" s="48"/>
      <c r="Z83" s="48"/>
      <c r="AA83" s="48"/>
    </row>
    <row r="84" spans="2:27" ht="15" hidden="1" x14ac:dyDescent="0.2">
      <c r="B84" s="62"/>
      <c r="C84" s="16"/>
      <c r="D84" s="16"/>
      <c r="E84" s="16"/>
      <c r="F84" s="16"/>
      <c r="G84" s="16"/>
      <c r="H84" s="16"/>
      <c r="I84" s="16"/>
      <c r="J84" s="48"/>
      <c r="K84" s="48"/>
      <c r="L84" s="48"/>
      <c r="M84" s="48"/>
      <c r="N84" s="48"/>
      <c r="O84" s="48"/>
      <c r="P84" s="48"/>
      <c r="Q84" s="48"/>
      <c r="R84" s="48"/>
      <c r="S84" s="48"/>
      <c r="T84" s="48"/>
      <c r="U84" s="48"/>
      <c r="V84" s="48"/>
      <c r="W84" s="48"/>
      <c r="X84" s="48"/>
      <c r="Y84" s="48"/>
      <c r="Z84" s="48"/>
      <c r="AA84" s="48"/>
    </row>
    <row r="85" spans="2:27" ht="15" hidden="1" x14ac:dyDescent="0.2">
      <c r="B85" s="62"/>
      <c r="C85" s="16"/>
      <c r="D85" s="16"/>
      <c r="E85" s="16"/>
      <c r="F85" s="16"/>
      <c r="G85" s="16"/>
      <c r="H85" s="16"/>
      <c r="I85" s="16"/>
      <c r="J85" s="48"/>
      <c r="K85" s="48"/>
      <c r="L85" s="48"/>
      <c r="M85" s="48"/>
      <c r="N85" s="48"/>
      <c r="O85" s="48"/>
      <c r="P85" s="48"/>
      <c r="Q85" s="48"/>
      <c r="R85" s="48"/>
      <c r="S85" s="48"/>
      <c r="T85" s="48"/>
      <c r="U85" s="48"/>
      <c r="V85" s="48"/>
      <c r="W85" s="48"/>
      <c r="X85" s="48"/>
      <c r="Y85" s="48"/>
      <c r="Z85" s="48"/>
      <c r="AA85" s="48"/>
    </row>
    <row r="86" spans="2:27" ht="15" hidden="1" x14ac:dyDescent="0.2">
      <c r="B86" s="62"/>
      <c r="C86" s="16"/>
      <c r="D86" s="16"/>
      <c r="E86" s="16"/>
      <c r="F86" s="16"/>
      <c r="G86" s="16"/>
      <c r="H86" s="16"/>
      <c r="I86" s="16"/>
      <c r="J86" s="48"/>
      <c r="K86" s="48"/>
      <c r="L86" s="48"/>
      <c r="M86" s="48"/>
      <c r="N86" s="48"/>
      <c r="O86" s="48"/>
      <c r="P86" s="48"/>
      <c r="Q86" s="48"/>
      <c r="R86" s="48"/>
      <c r="S86" s="48"/>
      <c r="T86" s="48"/>
      <c r="U86" s="48"/>
      <c r="V86" s="48"/>
      <c r="W86" s="48"/>
      <c r="X86" s="48"/>
      <c r="Y86" s="48"/>
      <c r="Z86" s="48"/>
      <c r="AA86" s="48"/>
    </row>
    <row r="87" spans="2:27" ht="15" hidden="1" x14ac:dyDescent="0.2">
      <c r="B87" s="62"/>
      <c r="C87" s="16"/>
      <c r="D87" s="16"/>
      <c r="E87" s="16"/>
      <c r="F87" s="16"/>
      <c r="G87" s="16"/>
      <c r="H87" s="16"/>
      <c r="I87" s="16"/>
      <c r="J87" s="48"/>
      <c r="K87" s="48"/>
      <c r="L87" s="48"/>
      <c r="M87" s="48"/>
      <c r="N87" s="48"/>
      <c r="O87" s="48"/>
      <c r="P87" s="48"/>
      <c r="Q87" s="48"/>
      <c r="R87" s="48"/>
      <c r="S87" s="48"/>
      <c r="T87" s="48"/>
      <c r="U87" s="48"/>
      <c r="V87" s="48"/>
      <c r="W87" s="48"/>
      <c r="X87" s="48"/>
      <c r="Y87" s="48"/>
      <c r="Z87" s="48"/>
      <c r="AA87" s="48"/>
    </row>
    <row r="88" spans="2:27" ht="15" hidden="1" x14ac:dyDescent="0.2">
      <c r="B88" s="62"/>
      <c r="C88" s="16"/>
      <c r="D88" s="16"/>
      <c r="E88" s="16"/>
      <c r="F88" s="16"/>
      <c r="G88" s="16"/>
      <c r="H88" s="16"/>
      <c r="I88" s="16"/>
      <c r="J88" s="48"/>
      <c r="K88" s="48"/>
      <c r="L88" s="48"/>
      <c r="M88" s="48"/>
      <c r="N88" s="48"/>
      <c r="O88" s="48"/>
      <c r="P88" s="48"/>
      <c r="Q88" s="48"/>
      <c r="R88" s="48"/>
      <c r="S88" s="48"/>
      <c r="T88" s="48"/>
      <c r="U88" s="48"/>
      <c r="V88" s="48"/>
      <c r="W88" s="48"/>
      <c r="X88" s="48"/>
      <c r="Y88" s="48"/>
      <c r="Z88" s="48"/>
      <c r="AA88" s="48"/>
    </row>
    <row r="89" spans="2:27" ht="15" hidden="1" x14ac:dyDescent="0.2">
      <c r="B89" s="62"/>
      <c r="C89" s="16"/>
      <c r="D89" s="16"/>
      <c r="E89" s="16"/>
      <c r="F89" s="16"/>
      <c r="G89" s="16"/>
      <c r="H89" s="16"/>
      <c r="I89" s="16"/>
      <c r="J89" s="48"/>
      <c r="K89" s="48"/>
      <c r="L89" s="48"/>
      <c r="M89" s="48"/>
      <c r="N89" s="48"/>
      <c r="O89" s="48"/>
      <c r="P89" s="48"/>
      <c r="Q89" s="48"/>
      <c r="R89" s="48"/>
      <c r="S89" s="48"/>
      <c r="T89" s="48"/>
      <c r="U89" s="48"/>
      <c r="V89" s="48"/>
      <c r="W89" s="48"/>
      <c r="X89" s="48"/>
      <c r="Y89" s="48"/>
      <c r="Z89" s="48"/>
      <c r="AA89" s="48"/>
    </row>
    <row r="90" spans="2:27" ht="15" hidden="1" x14ac:dyDescent="0.2">
      <c r="B90" s="62"/>
      <c r="C90" s="16"/>
      <c r="D90" s="16"/>
      <c r="E90" s="16"/>
      <c r="F90" s="16"/>
      <c r="G90" s="16"/>
      <c r="H90" s="16"/>
      <c r="I90" s="16"/>
      <c r="J90" s="48"/>
      <c r="K90" s="48"/>
      <c r="L90" s="48"/>
      <c r="M90" s="48"/>
      <c r="N90" s="48"/>
      <c r="O90" s="48"/>
      <c r="P90" s="48"/>
      <c r="Q90" s="48"/>
      <c r="R90" s="48"/>
      <c r="S90" s="48"/>
      <c r="T90" s="48"/>
      <c r="U90" s="48"/>
      <c r="V90" s="48"/>
      <c r="W90" s="48"/>
      <c r="X90" s="48"/>
      <c r="Y90" s="48"/>
      <c r="Z90" s="48"/>
      <c r="AA90" s="48"/>
    </row>
    <row r="91" spans="2:27" ht="15" hidden="1" x14ac:dyDescent="0.2">
      <c r="B91" s="62"/>
      <c r="C91" s="16"/>
      <c r="D91" s="16"/>
      <c r="E91" s="16"/>
      <c r="F91" s="16"/>
      <c r="G91" s="16"/>
      <c r="H91" s="16"/>
      <c r="I91" s="16"/>
      <c r="J91" s="48"/>
      <c r="K91" s="48"/>
      <c r="L91" s="48"/>
      <c r="M91" s="48"/>
      <c r="N91" s="48"/>
      <c r="O91" s="48"/>
      <c r="P91" s="48"/>
      <c r="Q91" s="48"/>
      <c r="R91" s="48"/>
      <c r="S91" s="48"/>
      <c r="T91" s="48"/>
      <c r="U91" s="48"/>
      <c r="V91" s="48"/>
      <c r="W91" s="48"/>
      <c r="X91" s="48"/>
      <c r="Y91" s="48"/>
      <c r="Z91" s="48"/>
      <c r="AA91" s="48"/>
    </row>
    <row r="92" spans="2:27" ht="15" hidden="1" x14ac:dyDescent="0.2">
      <c r="B92" s="62"/>
      <c r="C92" s="16"/>
      <c r="D92" s="16"/>
      <c r="E92" s="16"/>
      <c r="F92" s="16"/>
      <c r="G92" s="16"/>
      <c r="H92" s="16"/>
      <c r="I92" s="16"/>
      <c r="J92" s="48"/>
      <c r="K92" s="48"/>
      <c r="L92" s="48"/>
      <c r="M92" s="48"/>
      <c r="N92" s="48"/>
      <c r="O92" s="48"/>
      <c r="P92" s="48"/>
      <c r="Q92" s="48"/>
      <c r="R92" s="48"/>
      <c r="S92" s="48"/>
      <c r="T92" s="48"/>
      <c r="U92" s="48"/>
      <c r="V92" s="48"/>
      <c r="W92" s="48"/>
      <c r="X92" s="48"/>
      <c r="Y92" s="48"/>
      <c r="Z92" s="48"/>
      <c r="AA92" s="48"/>
    </row>
    <row r="93" spans="2:27" ht="15" hidden="1" x14ac:dyDescent="0.2">
      <c r="B93" s="62"/>
      <c r="C93" s="16"/>
      <c r="D93" s="16"/>
      <c r="E93" s="16"/>
      <c r="F93" s="16"/>
      <c r="G93" s="16"/>
      <c r="H93" s="16"/>
      <c r="I93" s="16"/>
      <c r="J93" s="48"/>
      <c r="K93" s="48"/>
      <c r="L93" s="48"/>
      <c r="M93" s="48"/>
      <c r="N93" s="48"/>
      <c r="O93" s="48"/>
      <c r="P93" s="48"/>
      <c r="Q93" s="48"/>
      <c r="R93" s="48"/>
      <c r="S93" s="48"/>
      <c r="T93" s="48"/>
      <c r="U93" s="48"/>
      <c r="V93" s="48"/>
      <c r="W93" s="48"/>
      <c r="X93" s="48"/>
      <c r="Y93" s="48"/>
      <c r="Z93" s="48"/>
      <c r="AA93" s="48"/>
    </row>
    <row r="94" spans="2:27" ht="15" hidden="1" x14ac:dyDescent="0.2">
      <c r="B94" s="62"/>
      <c r="C94" s="16"/>
      <c r="D94" s="16"/>
      <c r="E94" s="16"/>
      <c r="F94" s="16"/>
      <c r="G94" s="16"/>
      <c r="H94" s="16"/>
      <c r="I94" s="16"/>
      <c r="J94" s="48"/>
      <c r="K94" s="48"/>
      <c r="L94" s="48"/>
      <c r="M94" s="48"/>
      <c r="N94" s="48"/>
      <c r="O94" s="48"/>
      <c r="P94" s="48"/>
      <c r="Q94" s="48"/>
      <c r="R94" s="48"/>
      <c r="S94" s="48"/>
      <c r="T94" s="48"/>
      <c r="U94" s="48"/>
      <c r="V94" s="48"/>
      <c r="W94" s="48"/>
      <c r="X94" s="48"/>
      <c r="Y94" s="48"/>
      <c r="Z94" s="48"/>
      <c r="AA94" s="48"/>
    </row>
    <row r="95" spans="2:27" ht="15" hidden="1" x14ac:dyDescent="0.2"/>
  </sheetData>
  <sheetProtection selectLockedCells="1"/>
  <mergeCells count="61">
    <mergeCell ref="AA34:AA35"/>
    <mergeCell ref="S46:W46"/>
    <mergeCell ref="Y46:Z46"/>
    <mergeCell ref="X5:AA5"/>
    <mergeCell ref="A11:AA11"/>
    <mergeCell ref="B13:G16"/>
    <mergeCell ref="N36:Q36"/>
    <mergeCell ref="Y15:Y16"/>
    <mergeCell ref="Y14:AA14"/>
    <mergeCell ref="P15:P16"/>
    <mergeCell ref="T15:T16"/>
    <mergeCell ref="J14:X14"/>
    <mergeCell ref="W15:W16"/>
    <mergeCell ref="X15:X16"/>
    <mergeCell ref="K15:K16"/>
    <mergeCell ref="A6:E7"/>
    <mergeCell ref="Y47:Z47"/>
    <mergeCell ref="P46:R46"/>
    <mergeCell ref="Z15:Z16"/>
    <mergeCell ref="V15:V16"/>
    <mergeCell ref="Q15:Q16"/>
    <mergeCell ref="S47:W47"/>
    <mergeCell ref="U15:U16"/>
    <mergeCell ref="Y34:Y35"/>
    <mergeCell ref="W34:X35"/>
    <mergeCell ref="A35:V35"/>
    <mergeCell ref="Z34:Z35"/>
    <mergeCell ref="R15:R16"/>
    <mergeCell ref="J44:M46"/>
    <mergeCell ref="Q38:V38"/>
    <mergeCell ref="A38:L39"/>
    <mergeCell ref="A32:G32"/>
    <mergeCell ref="H6:L7"/>
    <mergeCell ref="N15:N16"/>
    <mergeCell ref="A4:L5"/>
    <mergeCell ref="M9:N9"/>
    <mergeCell ref="A13:A16"/>
    <mergeCell ref="J15:J16"/>
    <mergeCell ref="B31:G31"/>
    <mergeCell ref="B22:G22"/>
    <mergeCell ref="B23:G23"/>
    <mergeCell ref="B17:G17"/>
    <mergeCell ref="B21:G21"/>
    <mergeCell ref="B19:G19"/>
    <mergeCell ref="B20:G20"/>
    <mergeCell ref="A2:L3"/>
    <mergeCell ref="S15:S16"/>
    <mergeCell ref="S9:V9"/>
    <mergeCell ref="I17:I31"/>
    <mergeCell ref="I13:I16"/>
    <mergeCell ref="M15:M16"/>
    <mergeCell ref="H13:H16"/>
    <mergeCell ref="B18:G18"/>
    <mergeCell ref="H17:H31"/>
    <mergeCell ref="B24:G24"/>
    <mergeCell ref="B30:G30"/>
    <mergeCell ref="J13:AA13"/>
    <mergeCell ref="L15:L16"/>
    <mergeCell ref="Y2:AA2"/>
    <mergeCell ref="O15:O16"/>
    <mergeCell ref="AA15:AA16"/>
  </mergeCells>
  <dataValidations xWindow="788" yWindow="457" count="15">
    <dataValidation type="textLength" allowBlank="1" showInputMessage="1" showErrorMessage="1" prompt="LŪDZU NORĀDIET KADASTRA APZĪMĒJUMU" sqref="W34">
      <formula1>8</formula1>
      <formula2>15</formula2>
    </dataValidation>
    <dataValidation type="textLength" allowBlank="1" showInputMessage="1" showErrorMessage="1" prompt="LŪDZU NORĀDIET DATUMU IEVĒROJOT ŠĀDUS NOSACĪJUMUS (GGGGMMDDD), KUR:_x000a_GGGG - GADS_x000a_MM - MĒNESIS_x000a_DD - DIENA" sqref="Z34">
      <formula1>5</formula1>
      <formula2>8</formula2>
    </dataValidation>
    <dataValidation type="list" allowBlank="1" showInputMessage="1" showErrorMessage="1" errorTitle="KĻŪDA" promptTitle="PIEVIENOTIE DOKUMENTI" prompt="LŪDZU NORĀDIET PIEVIENOTO DOKUMENTU ESAMĪBU" sqref="AA17:AA31 Y17:Y31">
      <formula1>X</formula1>
    </dataValidation>
    <dataValidation type="list" allowBlank="1" showInputMessage="1" showErrorMessage="1" errorTitle="KĻŪDA" promptTitle="UZMANĪBU!" prompt="IESNIEDZ KOPĀ AR IEROSINĀTĀJA IESNIEGUMU" sqref="Z17:Z31">
      <formula1>X</formula1>
    </dataValidation>
    <dataValidation allowBlank="1" showInputMessage="1" showErrorMessage="1" promptTitle="DATUMS" prompt="ŠIS LAUKS AIZPILDĀS AUTOMĀTISKI" sqref="M9"/>
    <dataValidation type="textLength" allowBlank="1" showInputMessage="1" showErrorMessage="1" errorTitle="KĻŪDA" error="NEPAREIZI, IEVADĪTS ZEMES VIENĪBAS KADASTRA APZĪMĒJUMS" promptTitle="ZV kadastra apzīmējums" prompt="LŪDZU NORĀDIET OBJEKTA KADASTRA APZĪMĒJUMU " sqref="B17:G31">
      <formula1>11</formula1>
      <formula2>15</formula2>
    </dataValidation>
    <dataValidation type="whole" allowBlank="1" showInputMessage="1" showErrorMessage="1" errorTitle="KĻŪDA" error="LŪDZU PAREIZI NORĀDIET KADASTRA SUBJEKTA IESNIEGUMU SKAITU" promptTitle="Kadastra subjekta iesniegums" prompt="LŪDZU NORĀDIET IESNIEGUMU SKAITU" sqref="H17:H31">
      <formula1>1</formula1>
      <formula2>9</formula2>
    </dataValidation>
    <dataValidation allowBlank="1" showInputMessage="1" showErrorMessage="1" promptTitle="NOSAUKUMS UN REĢISTRĀCIJAS NR." prompt="LŪDZU IEVADIET IESNIEDZĒJA NOSAUKUMU UN REĢISTRĀCIJAS NUMURU" sqref="A2:M3"/>
    <dataValidation allowBlank="1" showInputMessage="1" showErrorMessage="1" promptTitle="ZKU VEICĒJA E-PASTS" prompt="LŪDZU, NORĀDIET TIEŠĀ ZKU VEICĒJA ELEKTRONISKĀ PASTA ADRESI, LAI NEPIECIEŠAMĪBAS GADĪJUMĀ , DIENESTS VARĒTU AR VIŅU SAZINĀTIES" sqref="A4:M5"/>
    <dataValidation allowBlank="1" showInputMessage="1" showErrorMessage="1" promptTitle="INFORMATĪVAIS E-PASTS" prompt="LŪDZU, NORĀDIET IESNIEDZĒJA INFORMATĪVO ELEKTRONISKĀ PASTA ADRESI" sqref="A6:E7"/>
    <dataValidation allowBlank="1" showInputMessage="1" showErrorMessage="1" promptTitle="TĀLRUŅA NUMURS" prompt="LŪDZU, NORĀDIET IESNIEDZĒJA TĀLRUŅA NUMURU" sqref="H6:M7"/>
    <dataValidation type="list" showInputMessage="1" showErrorMessage="1" errorTitle="KĻŪDA" error="LŪDZU IZVĒLIETIES KADASTRĀLĀS UZMĒRĪŠANAS MĒRĶI NO SARAKSTA" prompt="LŪDZU NORĀDIET ATBILSTOŠO KADASTRĀLĀS UZMĒRĪŠANAS MĒRĶI" sqref="I17:I31">
      <formula1>A</formula1>
    </dataValidation>
    <dataValidation type="whole" allowBlank="1" showInputMessage="1" showErrorMessage="1" errorTitle="KĻŪDA" error="NEPAREIZI NORĀDĪTS IESNIEDZAMO ORIĢINĀLU SKAITS" promptTitle="DOKUMENTU ORIĢINĀLU SKAITS" prompt="LŪDZU NORĀDIET IESNIEDZAMO ORIĢINĀLU SKAITU " sqref="J17:X31">
      <formula1>1</formula1>
      <formula2>9</formula2>
    </dataValidation>
    <dataValidation type="textLength" allowBlank="1" showInputMessage="1" showErrorMessage="1" promptTitle="NOSAUKUMS, REĢISTRĀCIJAS NR." prompt="LŪDZU IEVADIET IESNIEDZĒJA NOSAUKUMU UN REĢISTRĀCIJAS NUMMURU" sqref="X3:AA3">
      <formula1>1</formula1>
      <formula2>100</formula2>
    </dataValidation>
    <dataValidation allowBlank="1" showErrorMessage="1" promptTitle="INFORMATĪVAIS E-PASTS" sqref="X5:AA6"/>
  </dataValidations>
  <pageMargins left="0.11811023622047245" right="0.11811023622047245" top="0.39370078740157483" bottom="0.39370078740157483" header="3.937007874015748E-2" footer="3.937007874015748E-2"/>
  <pageSetup paperSize="9" scale="60" fitToWidth="0" fitToHeight="0" orientation="landscape" r:id="rId1"/>
  <colBreaks count="1" manualBreakCount="1">
    <brk id="29" max="38" man="1"/>
  </colBreaks>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
  <sheetViews>
    <sheetView workbookViewId="0">
      <selection activeCell="E1" sqref="E1:E3"/>
    </sheetView>
  </sheetViews>
  <sheetFormatPr defaultRowHeight="15" x14ac:dyDescent="0.25"/>
  <cols>
    <col min="2" max="2" width="20" bestFit="1" customWidth="1"/>
    <col min="3" max="3" width="19" bestFit="1" customWidth="1"/>
    <col min="4" max="4" width="77.140625" bestFit="1" customWidth="1"/>
    <col min="5" max="5" width="12.85546875" bestFit="1" customWidth="1"/>
  </cols>
  <sheetData>
    <row r="1" spans="1:5" x14ac:dyDescent="0.25">
      <c r="E1" t="s">
        <v>44</v>
      </c>
    </row>
    <row r="2" spans="1:5" x14ac:dyDescent="0.25">
      <c r="A2" t="s">
        <v>16</v>
      </c>
      <c r="B2" t="s">
        <v>24</v>
      </c>
      <c r="C2" t="s">
        <v>24</v>
      </c>
      <c r="D2" t="s">
        <v>25</v>
      </c>
      <c r="E2" t="s">
        <v>45</v>
      </c>
    </row>
    <row r="3" spans="1:5" x14ac:dyDescent="0.25">
      <c r="B3" t="s">
        <v>25</v>
      </c>
      <c r="C3" t="s">
        <v>25</v>
      </c>
      <c r="D3" t="s">
        <v>29</v>
      </c>
      <c r="E3" t="s">
        <v>46</v>
      </c>
    </row>
    <row r="4" spans="1:5" x14ac:dyDescent="0.25">
      <c r="B4" t="s">
        <v>26</v>
      </c>
      <c r="C4" t="s">
        <v>26</v>
      </c>
      <c r="D4" t="s">
        <v>30</v>
      </c>
    </row>
    <row r="5" spans="1:5" x14ac:dyDescent="0.25">
      <c r="B5" t="s">
        <v>27</v>
      </c>
      <c r="C5" t="s">
        <v>27</v>
      </c>
      <c r="D5" t="s">
        <v>31</v>
      </c>
    </row>
    <row r="6" spans="1:5" x14ac:dyDescent="0.25">
      <c r="B6" t="s">
        <v>28</v>
      </c>
      <c r="C6" t="s">
        <v>28</v>
      </c>
      <c r="D6" t="s">
        <v>28</v>
      </c>
    </row>
    <row r="7" spans="1:5" x14ac:dyDescent="0.25">
      <c r="D7" t="s">
        <v>32</v>
      </c>
    </row>
    <row r="8" spans="1:5" x14ac:dyDescent="0.25">
      <c r="D8" t="s">
        <v>33</v>
      </c>
    </row>
    <row r="9" spans="1:5" x14ac:dyDescent="0.25">
      <c r="D9" t="s">
        <v>41</v>
      </c>
    </row>
    <row r="10" spans="1:5" x14ac:dyDescent="0.25">
      <c r="D10" t="s">
        <v>42</v>
      </c>
    </row>
  </sheetData>
  <pageMargins left="0.7" right="0.7" top="0.75" bottom="0.75" header="0.3" footer="0.3"/>
  <customProperties>
    <customPr name="DVSECTION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customProperties>
    <customPr name="DVSECTIONID" r:id="rId1"/>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V14"/>
  <sheetViews>
    <sheetView workbookViewId="0">
      <selection activeCell="HI12" sqref="HI12"/>
    </sheetView>
  </sheetViews>
  <sheetFormatPr defaultRowHeight="15" x14ac:dyDescent="0.25"/>
  <sheetData>
    <row r="1" spans="1:256" x14ac:dyDescent="0.25">
      <c r="A1">
        <f>IF(Sheet1!1:1,"AAAAAH/vOgA=",0)</f>
        <v>0</v>
      </c>
      <c r="B1" t="e">
        <f>AND(Sheet1!A1,"AAAAAH/vOgE=")</f>
        <v>#VALUE!</v>
      </c>
      <c r="C1" t="e">
        <f>AND(Sheet1!B1,"AAAAAH/vOgI=")</f>
        <v>#VALUE!</v>
      </c>
      <c r="D1" t="e">
        <f>AND(Sheet1!C1,"AAAAAH/vOgM=")</f>
        <v>#VALUE!</v>
      </c>
      <c r="E1" t="e">
        <f>AND(Sheet1!D1,"AAAAAH/vOgQ=")</f>
        <v>#VALUE!</v>
      </c>
      <c r="F1" t="e">
        <f>AND(Sheet1!E1,"AAAAAH/vOgU=")</f>
        <v>#VALUE!</v>
      </c>
      <c r="G1" t="e">
        <f>AND(Sheet1!F1,"AAAAAH/vOgY=")</f>
        <v>#VALUE!</v>
      </c>
      <c r="H1" t="e">
        <f>AND(Sheet1!G1,"AAAAAH/vOgc=")</f>
        <v>#VALUE!</v>
      </c>
      <c r="I1" t="e">
        <f>AND(Sheet1!H1,"AAAAAH/vOgg=")</f>
        <v>#VALUE!</v>
      </c>
      <c r="J1" t="e">
        <f>AND(Sheet1!I1,"AAAAAH/vOgk=")</f>
        <v>#VALUE!</v>
      </c>
      <c r="K1" t="e">
        <f>AND(Sheet1!J1,"AAAAAH/vOgo=")</f>
        <v>#VALUE!</v>
      </c>
      <c r="L1" t="e">
        <f>AND(Sheet1!K1,"AAAAAH/vOgs=")</f>
        <v>#VALUE!</v>
      </c>
      <c r="M1" t="e">
        <f>AND(Sheet1!L1,"AAAAAH/vOgw=")</f>
        <v>#VALUE!</v>
      </c>
      <c r="N1" t="e">
        <f>AND(Sheet1!M1,"AAAAAH/vOg0=")</f>
        <v>#VALUE!</v>
      </c>
      <c r="O1" t="e">
        <f>AND(Sheet1!N1,"AAAAAH/vOg4=")</f>
        <v>#VALUE!</v>
      </c>
      <c r="P1" t="e">
        <f>AND(Sheet1!#REF!,"AAAAAH/vOg8=")</f>
        <v>#REF!</v>
      </c>
      <c r="Q1" t="e">
        <f>AND(Sheet1!#REF!,"AAAAAH/vOhA=")</f>
        <v>#REF!</v>
      </c>
      <c r="R1" t="e">
        <f>AND(Sheet1!O1,"AAAAAH/vOhE=")</f>
        <v>#VALUE!</v>
      </c>
      <c r="S1" t="e">
        <f>AND(Sheet1!Q1,"AAAAAH/vOhI=")</f>
        <v>#VALUE!</v>
      </c>
      <c r="T1" t="e">
        <f>AND(Sheet1!R1,"AAAAAH/vOhM=")</f>
        <v>#VALUE!</v>
      </c>
      <c r="U1" t="e">
        <f>AND(Sheet1!S1,"AAAAAH/vOhQ=")</f>
        <v>#VALUE!</v>
      </c>
      <c r="V1" t="e">
        <f>AND(Sheet1!T1,"AAAAAH/vOhU=")</f>
        <v>#VALUE!</v>
      </c>
      <c r="W1" t="e">
        <f>AND(Sheet1!U1,"AAAAAH/vOhY=")</f>
        <v>#VALUE!</v>
      </c>
      <c r="X1" t="e">
        <f>AND(Sheet1!V1,"AAAAAH/vOhc=")</f>
        <v>#VALUE!</v>
      </c>
      <c r="Y1" t="e">
        <f>AND(Sheet1!W1,"AAAAAH/vOhg=")</f>
        <v>#VALUE!</v>
      </c>
      <c r="Z1" t="e">
        <f>AND(Sheet1!X1,"AAAAAH/vOhk=")</f>
        <v>#VALUE!</v>
      </c>
      <c r="AA1" t="e">
        <f>AND(Sheet1!#REF!,"AAAAAH/vOho=")</f>
        <v>#REF!</v>
      </c>
      <c r="AB1" t="e">
        <f>AND(Sheet1!#REF!,"AAAAAH/vOhs=")</f>
        <v>#REF!</v>
      </c>
      <c r="AC1" t="e">
        <f>AND(Sheet1!Y1,"AAAAAH/vOhw=")</f>
        <v>#VALUE!</v>
      </c>
      <c r="AD1" t="e">
        <f>AND(Sheet1!Z1,"AAAAAH/vOh0=")</f>
        <v>#VALUE!</v>
      </c>
      <c r="AE1" t="e">
        <f>AND(Sheet1!AA1,"AAAAAH/vOh4=")</f>
        <v>#VALUE!</v>
      </c>
      <c r="AF1" t="e">
        <f>AND(Sheet1!AB1,"AAAAAH/vOh8=")</f>
        <v>#VALUE!</v>
      </c>
      <c r="AG1" t="e">
        <f>AND(Sheet1!AC1,"AAAAAH/vOiA=")</f>
        <v>#VALUE!</v>
      </c>
      <c r="AH1">
        <f>IF(Sheet1!2:2,"AAAAAH/vOiE=",0)</f>
        <v>0</v>
      </c>
      <c r="AI1" t="e">
        <f>AND(Sheet1!A2,"AAAAAH/vOiI=")</f>
        <v>#VALUE!</v>
      </c>
      <c r="AJ1" t="e">
        <f>AND(Sheet1!B2,"AAAAAH/vOiM=")</f>
        <v>#VALUE!</v>
      </c>
      <c r="AK1" t="e">
        <f>AND(Sheet1!C2,"AAAAAH/vOiQ=")</f>
        <v>#VALUE!</v>
      </c>
      <c r="AL1" t="e">
        <f>AND(Sheet1!D2,"AAAAAH/vOiU=")</f>
        <v>#VALUE!</v>
      </c>
      <c r="AM1" t="e">
        <f>AND(Sheet1!E2,"AAAAAH/vOiY=")</f>
        <v>#VALUE!</v>
      </c>
      <c r="AN1" t="e">
        <f>AND(Sheet1!F2,"AAAAAH/vOic=")</f>
        <v>#VALUE!</v>
      </c>
      <c r="AO1" t="e">
        <f>AND(Sheet1!G2,"AAAAAH/vOig=")</f>
        <v>#VALUE!</v>
      </c>
      <c r="AP1" t="e">
        <f>AND(Sheet1!H2,"AAAAAH/vOik=")</f>
        <v>#VALUE!</v>
      </c>
      <c r="AQ1" t="e">
        <f>AND(Sheet1!I2,"AAAAAH/vOio=")</f>
        <v>#VALUE!</v>
      </c>
      <c r="AR1" t="e">
        <f>AND(Sheet1!J2,"AAAAAH/vOis=")</f>
        <v>#VALUE!</v>
      </c>
      <c r="AS1" t="e">
        <f>AND(Sheet1!K2,"AAAAAH/vOiw=")</f>
        <v>#VALUE!</v>
      </c>
      <c r="AT1" t="e">
        <f>AND(Sheet1!L2,"AAAAAH/vOi0=")</f>
        <v>#VALUE!</v>
      </c>
      <c r="AU1" t="e">
        <f>AND(Sheet1!M2,"AAAAAH/vOi4=")</f>
        <v>#VALUE!</v>
      </c>
      <c r="AV1" t="e">
        <f>AND(Sheet1!N2,"AAAAAH/vOi8=")</f>
        <v>#VALUE!</v>
      </c>
      <c r="AW1" t="e">
        <f>AND(Sheet1!#REF!,"AAAAAH/vOjA=")</f>
        <v>#REF!</v>
      </c>
      <c r="AX1" t="e">
        <f>AND(Sheet1!#REF!,"AAAAAH/vOjE=")</f>
        <v>#REF!</v>
      </c>
      <c r="AY1" t="e">
        <f>AND(Sheet1!O2,"AAAAAH/vOjI=")</f>
        <v>#VALUE!</v>
      </c>
      <c r="AZ1" t="e">
        <f>AND(Sheet1!Q2,"AAAAAH/vOjM=")</f>
        <v>#VALUE!</v>
      </c>
      <c r="BA1" t="e">
        <f>AND(Sheet1!R2,"AAAAAH/vOjQ=")</f>
        <v>#VALUE!</v>
      </c>
      <c r="BB1" t="e">
        <f>AND(Sheet1!S2,"AAAAAH/vOjU=")</f>
        <v>#VALUE!</v>
      </c>
      <c r="BC1" t="e">
        <f>AND(Sheet1!T2,"AAAAAH/vOjY=")</f>
        <v>#VALUE!</v>
      </c>
      <c r="BD1" t="e">
        <f>AND(Sheet1!U2,"AAAAAH/vOjc=")</f>
        <v>#VALUE!</v>
      </c>
      <c r="BE1" t="e">
        <f>AND(Sheet1!V2,"AAAAAH/vOjg=")</f>
        <v>#VALUE!</v>
      </c>
      <c r="BF1" t="e">
        <f>AND(Sheet1!W2,"AAAAAH/vOjk=")</f>
        <v>#VALUE!</v>
      </c>
      <c r="BG1" t="e">
        <f>AND(Sheet1!X2,"AAAAAH/vOjo=")</f>
        <v>#VALUE!</v>
      </c>
      <c r="BH1" t="e">
        <f>AND(Sheet1!#REF!,"AAAAAH/vOjs=")</f>
        <v>#REF!</v>
      </c>
      <c r="BI1" t="e">
        <f>AND(Sheet1!#REF!,"AAAAAH/vOjw=")</f>
        <v>#REF!</v>
      </c>
      <c r="BJ1" t="e">
        <f>AND(Sheet1!Y2,"AAAAAH/vOj0=")</f>
        <v>#VALUE!</v>
      </c>
      <c r="BK1" t="e">
        <f>AND(Sheet1!Z2,"AAAAAH/vOj4=")</f>
        <v>#VALUE!</v>
      </c>
      <c r="BL1" t="e">
        <f>AND(Sheet1!AA2,"AAAAAH/vOj8=")</f>
        <v>#VALUE!</v>
      </c>
      <c r="BM1" t="e">
        <f>AND(Sheet1!AB2,"AAAAAH/vOkA=")</f>
        <v>#VALUE!</v>
      </c>
      <c r="BN1" t="e">
        <f>AND(Sheet1!AC2,"AAAAAH/vOkE=")</f>
        <v>#VALUE!</v>
      </c>
      <c r="BO1">
        <f>IF(Sheet1!3:3,"AAAAAH/vOkI=",0)</f>
        <v>0</v>
      </c>
      <c r="BP1" t="e">
        <f>AND(Sheet1!A3,"AAAAAH/vOkM=")</f>
        <v>#VALUE!</v>
      </c>
      <c r="BQ1" t="e">
        <f>AND(Sheet1!B3,"AAAAAH/vOkQ=")</f>
        <v>#VALUE!</v>
      </c>
      <c r="BR1" t="e">
        <f>AND(Sheet1!C3,"AAAAAH/vOkU=")</f>
        <v>#VALUE!</v>
      </c>
      <c r="BS1" t="e">
        <f>AND(Sheet1!D3,"AAAAAH/vOkY=")</f>
        <v>#VALUE!</v>
      </c>
      <c r="BT1" t="e">
        <f>AND(Sheet1!E3,"AAAAAH/vOkc=")</f>
        <v>#VALUE!</v>
      </c>
      <c r="BU1" t="e">
        <f>AND(Sheet1!F3,"AAAAAH/vOkg=")</f>
        <v>#VALUE!</v>
      </c>
      <c r="BV1" t="e">
        <f>AND(Sheet1!G3,"AAAAAH/vOkk=")</f>
        <v>#VALUE!</v>
      </c>
      <c r="BW1" t="e">
        <f>AND(Sheet1!H3,"AAAAAH/vOko=")</f>
        <v>#VALUE!</v>
      </c>
      <c r="BX1" t="e">
        <f>AND(Sheet1!I3,"AAAAAH/vOks=")</f>
        <v>#VALUE!</v>
      </c>
      <c r="BY1" t="e">
        <f>AND(Sheet1!J3,"AAAAAH/vOkw=")</f>
        <v>#VALUE!</v>
      </c>
      <c r="BZ1" t="e">
        <f>AND(Sheet1!K3,"AAAAAH/vOk0=")</f>
        <v>#VALUE!</v>
      </c>
      <c r="CA1" t="e">
        <f>AND(Sheet1!L3,"AAAAAH/vOk4=")</f>
        <v>#VALUE!</v>
      </c>
      <c r="CB1" t="e">
        <f>AND(Sheet1!M3,"AAAAAH/vOk8=")</f>
        <v>#VALUE!</v>
      </c>
      <c r="CC1" t="e">
        <f>AND(Sheet1!N3,"AAAAAH/vOlA=")</f>
        <v>#VALUE!</v>
      </c>
      <c r="CD1" t="e">
        <f>AND(Sheet1!#REF!,"AAAAAH/vOlE=")</f>
        <v>#REF!</v>
      </c>
      <c r="CE1" t="e">
        <f>AND(Sheet1!#REF!,"AAAAAH/vOlI=")</f>
        <v>#REF!</v>
      </c>
      <c r="CF1" t="e">
        <f>AND(Sheet1!O3,"AAAAAH/vOlM=")</f>
        <v>#VALUE!</v>
      </c>
      <c r="CG1" t="e">
        <f>AND(Sheet1!Q3,"AAAAAH/vOlQ=")</f>
        <v>#VALUE!</v>
      </c>
      <c r="CH1" t="e">
        <f>AND(Sheet1!R3,"AAAAAH/vOlU=")</f>
        <v>#VALUE!</v>
      </c>
      <c r="CI1" t="e">
        <f>AND(Sheet1!S3,"AAAAAH/vOlY=")</f>
        <v>#VALUE!</v>
      </c>
      <c r="CJ1" t="e">
        <f>AND(Sheet1!T3,"AAAAAH/vOlc=")</f>
        <v>#VALUE!</v>
      </c>
      <c r="CK1" t="e">
        <f>AND(Sheet1!U3,"AAAAAH/vOlg=")</f>
        <v>#VALUE!</v>
      </c>
      <c r="CL1" t="e">
        <f>AND(Sheet1!V3,"AAAAAH/vOlk=")</f>
        <v>#VALUE!</v>
      </c>
      <c r="CM1" t="e">
        <f>AND(Sheet1!W3,"AAAAAH/vOlo=")</f>
        <v>#VALUE!</v>
      </c>
      <c r="CN1" t="e">
        <f>AND(Sheet1!X3,"AAAAAH/vOls=")</f>
        <v>#VALUE!</v>
      </c>
      <c r="CO1" t="e">
        <f>AND(Sheet1!#REF!,"AAAAAH/vOlw=")</f>
        <v>#REF!</v>
      </c>
      <c r="CP1" t="e">
        <f>AND(Sheet1!#REF!,"AAAAAH/vOl0=")</f>
        <v>#REF!</v>
      </c>
      <c r="CQ1" t="e">
        <f>AND(Sheet1!Y3,"AAAAAH/vOl4=")</f>
        <v>#VALUE!</v>
      </c>
      <c r="CR1" t="e">
        <f>AND(Sheet1!Z3,"AAAAAH/vOl8=")</f>
        <v>#VALUE!</v>
      </c>
      <c r="CS1" t="e">
        <f>AND(Sheet1!AA3,"AAAAAH/vOmA=")</f>
        <v>#VALUE!</v>
      </c>
      <c r="CT1" t="e">
        <f>AND(Sheet1!AB3,"AAAAAH/vOmE=")</f>
        <v>#VALUE!</v>
      </c>
      <c r="CU1" t="e">
        <f>AND(Sheet1!AC3,"AAAAAH/vOmI=")</f>
        <v>#VALUE!</v>
      </c>
      <c r="CV1">
        <f>IF(Sheet1!4:4,"AAAAAH/vOmM=",0)</f>
        <v>0</v>
      </c>
      <c r="CW1" t="e">
        <f>AND(Sheet1!A4,"AAAAAH/vOmQ=")</f>
        <v>#VALUE!</v>
      </c>
      <c r="CX1" t="e">
        <f>AND(Sheet1!B4,"AAAAAH/vOmU=")</f>
        <v>#VALUE!</v>
      </c>
      <c r="CY1" t="e">
        <f>AND(Sheet1!C4,"AAAAAH/vOmY=")</f>
        <v>#VALUE!</v>
      </c>
      <c r="CZ1" t="e">
        <f>AND(Sheet1!D4,"AAAAAH/vOmc=")</f>
        <v>#VALUE!</v>
      </c>
      <c r="DA1" t="e">
        <f>AND(Sheet1!E4,"AAAAAH/vOmg=")</f>
        <v>#VALUE!</v>
      </c>
      <c r="DB1" t="e">
        <f>AND(Sheet1!F4,"AAAAAH/vOmk=")</f>
        <v>#VALUE!</v>
      </c>
      <c r="DC1" t="e">
        <f>AND(Sheet1!G4,"AAAAAH/vOmo=")</f>
        <v>#VALUE!</v>
      </c>
      <c r="DD1" t="e">
        <f>AND(Sheet1!H4,"AAAAAH/vOms=")</f>
        <v>#VALUE!</v>
      </c>
      <c r="DE1" t="e">
        <f>AND(Sheet1!I4,"AAAAAH/vOmw=")</f>
        <v>#VALUE!</v>
      </c>
      <c r="DF1" t="e">
        <f>AND(Sheet1!J4,"AAAAAH/vOm0=")</f>
        <v>#VALUE!</v>
      </c>
      <c r="DG1" t="e">
        <f>AND(Sheet1!K4,"AAAAAH/vOm4=")</f>
        <v>#VALUE!</v>
      </c>
      <c r="DH1" t="e">
        <f>AND(Sheet1!L4,"AAAAAH/vOm8=")</f>
        <v>#VALUE!</v>
      </c>
      <c r="DI1" t="e">
        <f>AND(Sheet1!M4,"AAAAAH/vOnA=")</f>
        <v>#VALUE!</v>
      </c>
      <c r="DJ1" t="e">
        <f>AND(Sheet1!N4,"AAAAAH/vOnE=")</f>
        <v>#VALUE!</v>
      </c>
      <c r="DK1" t="e">
        <f>AND(Sheet1!#REF!,"AAAAAH/vOnI=")</f>
        <v>#REF!</v>
      </c>
      <c r="DL1" t="e">
        <f>AND(Sheet1!#REF!,"AAAAAH/vOnM=")</f>
        <v>#REF!</v>
      </c>
      <c r="DM1" t="e">
        <f>AND(Sheet1!O4,"AAAAAH/vOnQ=")</f>
        <v>#VALUE!</v>
      </c>
      <c r="DN1" t="e">
        <f>AND(Sheet1!Q4,"AAAAAH/vOnU=")</f>
        <v>#VALUE!</v>
      </c>
      <c r="DO1" t="e">
        <f>AND(Sheet1!R4,"AAAAAH/vOnY=")</f>
        <v>#VALUE!</v>
      </c>
      <c r="DP1" t="e">
        <f>AND(Sheet1!S4,"AAAAAH/vOnc=")</f>
        <v>#VALUE!</v>
      </c>
      <c r="DQ1" t="e">
        <f>AND(Sheet1!T4,"AAAAAH/vOng=")</f>
        <v>#VALUE!</v>
      </c>
      <c r="DR1" t="e">
        <f>AND(Sheet1!U4,"AAAAAH/vOnk=")</f>
        <v>#VALUE!</v>
      </c>
      <c r="DS1" t="e">
        <f>AND(Sheet1!V4,"AAAAAH/vOno=")</f>
        <v>#VALUE!</v>
      </c>
      <c r="DT1" t="e">
        <f>AND(Sheet1!W4,"AAAAAH/vOns=")</f>
        <v>#VALUE!</v>
      </c>
      <c r="DU1" t="e">
        <f>AND(Sheet1!X4,"AAAAAH/vOnw=")</f>
        <v>#VALUE!</v>
      </c>
      <c r="DV1" t="e">
        <f>AND(Sheet1!#REF!,"AAAAAH/vOn0=")</f>
        <v>#REF!</v>
      </c>
      <c r="DW1" t="e">
        <f>AND(Sheet1!#REF!,"AAAAAH/vOn4=")</f>
        <v>#REF!</v>
      </c>
      <c r="DX1" t="e">
        <f>AND(Sheet1!Y4,"AAAAAH/vOn8=")</f>
        <v>#VALUE!</v>
      </c>
      <c r="DY1" t="e">
        <f>AND(Sheet1!Z4,"AAAAAH/vOoA=")</f>
        <v>#VALUE!</v>
      </c>
      <c r="DZ1" t="e">
        <f>AND(Sheet1!AA4,"AAAAAH/vOoE=")</f>
        <v>#VALUE!</v>
      </c>
      <c r="EA1" t="e">
        <f>AND(Sheet1!AB4,"AAAAAH/vOoI=")</f>
        <v>#VALUE!</v>
      </c>
      <c r="EB1" t="e">
        <f>AND(Sheet1!AC4,"AAAAAH/vOoM=")</f>
        <v>#VALUE!</v>
      </c>
      <c r="EC1">
        <f>IF(Sheet1!5:5,"AAAAAH/vOoQ=",0)</f>
        <v>0</v>
      </c>
      <c r="ED1" t="e">
        <f>AND(Sheet1!A5,"AAAAAH/vOoU=")</f>
        <v>#VALUE!</v>
      </c>
      <c r="EE1" t="e">
        <f>AND(Sheet1!B5,"AAAAAH/vOoY=")</f>
        <v>#VALUE!</v>
      </c>
      <c r="EF1" t="e">
        <f>AND(Sheet1!C5,"AAAAAH/vOoc=")</f>
        <v>#VALUE!</v>
      </c>
      <c r="EG1" t="e">
        <f>AND(Sheet1!D5,"AAAAAH/vOog=")</f>
        <v>#VALUE!</v>
      </c>
      <c r="EH1" t="e">
        <f>AND(Sheet1!E5,"AAAAAH/vOok=")</f>
        <v>#VALUE!</v>
      </c>
      <c r="EI1" t="e">
        <f>AND(Sheet1!F5,"AAAAAH/vOoo=")</f>
        <v>#VALUE!</v>
      </c>
      <c r="EJ1" t="e">
        <f>AND(Sheet1!G5,"AAAAAH/vOos=")</f>
        <v>#VALUE!</v>
      </c>
      <c r="EK1" t="e">
        <f>AND(Sheet1!H5,"AAAAAH/vOow=")</f>
        <v>#VALUE!</v>
      </c>
      <c r="EL1" t="e">
        <f>AND(Sheet1!I5,"AAAAAH/vOo0=")</f>
        <v>#VALUE!</v>
      </c>
      <c r="EM1" t="e">
        <f>AND(Sheet1!J5,"AAAAAH/vOo4=")</f>
        <v>#VALUE!</v>
      </c>
      <c r="EN1" t="e">
        <f>AND(Sheet1!K5,"AAAAAH/vOo8=")</f>
        <v>#VALUE!</v>
      </c>
      <c r="EO1" t="e">
        <f>AND(Sheet1!L5,"AAAAAH/vOpA=")</f>
        <v>#VALUE!</v>
      </c>
      <c r="EP1" t="e">
        <f>AND(Sheet1!M5,"AAAAAH/vOpE=")</f>
        <v>#VALUE!</v>
      </c>
      <c r="EQ1" t="e">
        <f>AND(Sheet1!N5,"AAAAAH/vOpI=")</f>
        <v>#VALUE!</v>
      </c>
      <c r="ER1" t="e">
        <f>AND(Sheet1!#REF!,"AAAAAH/vOpM=")</f>
        <v>#REF!</v>
      </c>
      <c r="ES1" t="e">
        <f>AND(Sheet1!#REF!,"AAAAAH/vOpQ=")</f>
        <v>#REF!</v>
      </c>
      <c r="ET1" t="e">
        <f>AND(Sheet1!O5,"AAAAAH/vOpU=")</f>
        <v>#VALUE!</v>
      </c>
      <c r="EU1" t="e">
        <f>AND(Sheet1!Q5,"AAAAAH/vOpY=")</f>
        <v>#VALUE!</v>
      </c>
      <c r="EV1" t="e">
        <f>AND(Sheet1!R5,"AAAAAH/vOpc=")</f>
        <v>#VALUE!</v>
      </c>
      <c r="EW1" t="e">
        <f>AND(Sheet1!S5,"AAAAAH/vOpg=")</f>
        <v>#VALUE!</v>
      </c>
      <c r="EX1" t="e">
        <f>AND(Sheet1!T5,"AAAAAH/vOpk=")</f>
        <v>#VALUE!</v>
      </c>
      <c r="EY1" t="e">
        <f>AND(Sheet1!U5,"AAAAAH/vOpo=")</f>
        <v>#VALUE!</v>
      </c>
      <c r="EZ1" t="e">
        <f>AND(Sheet1!V5,"AAAAAH/vOps=")</f>
        <v>#VALUE!</v>
      </c>
      <c r="FA1" t="e">
        <f>AND(Sheet1!W5,"AAAAAH/vOpw=")</f>
        <v>#VALUE!</v>
      </c>
      <c r="FB1" t="e">
        <f>AND(Sheet1!X5,"AAAAAH/vOp0=")</f>
        <v>#VALUE!</v>
      </c>
      <c r="FC1" t="e">
        <f>AND(Sheet1!#REF!,"AAAAAH/vOp4=")</f>
        <v>#REF!</v>
      </c>
      <c r="FD1" t="e">
        <f>AND(Sheet1!#REF!,"AAAAAH/vOp8=")</f>
        <v>#REF!</v>
      </c>
      <c r="FE1" t="e">
        <f>AND(Sheet1!Y5,"AAAAAH/vOqA=")</f>
        <v>#VALUE!</v>
      </c>
      <c r="FF1" t="e">
        <f>AND(Sheet1!Z5,"AAAAAH/vOqE=")</f>
        <v>#VALUE!</v>
      </c>
      <c r="FG1" t="e">
        <f>AND(Sheet1!AA5,"AAAAAH/vOqI=")</f>
        <v>#VALUE!</v>
      </c>
      <c r="FH1" t="e">
        <f>AND(Sheet1!AB5,"AAAAAH/vOqM=")</f>
        <v>#VALUE!</v>
      </c>
      <c r="FI1" t="e">
        <f>AND(Sheet1!AC5,"AAAAAH/vOqQ=")</f>
        <v>#VALUE!</v>
      </c>
      <c r="FJ1">
        <f>IF(Sheet1!6:6,"AAAAAH/vOqU=",0)</f>
        <v>0</v>
      </c>
      <c r="FK1" t="e">
        <f>AND(Sheet1!A6,"AAAAAH/vOqY=")</f>
        <v>#VALUE!</v>
      </c>
      <c r="FL1" t="e">
        <f>AND(Sheet1!B6,"AAAAAH/vOqc=")</f>
        <v>#VALUE!</v>
      </c>
      <c r="FM1" t="e">
        <f>AND(Sheet1!C6,"AAAAAH/vOqg=")</f>
        <v>#VALUE!</v>
      </c>
      <c r="FN1" t="e">
        <f>AND(Sheet1!D6,"AAAAAH/vOqk=")</f>
        <v>#VALUE!</v>
      </c>
      <c r="FO1" t="e">
        <f>AND(Sheet1!E6,"AAAAAH/vOqo=")</f>
        <v>#VALUE!</v>
      </c>
      <c r="FP1" t="e">
        <f>AND(Sheet1!F6,"AAAAAH/vOqs=")</f>
        <v>#VALUE!</v>
      </c>
      <c r="FQ1" t="e">
        <f>AND(Sheet1!G6,"AAAAAH/vOqw=")</f>
        <v>#VALUE!</v>
      </c>
      <c r="FR1" t="e">
        <f>AND(Sheet1!H6,"AAAAAH/vOq0=")</f>
        <v>#VALUE!</v>
      </c>
      <c r="FS1" t="e">
        <f>AND(Sheet1!I6,"AAAAAH/vOq4=")</f>
        <v>#VALUE!</v>
      </c>
      <c r="FT1" t="e">
        <f>AND(Sheet1!J6,"AAAAAH/vOq8=")</f>
        <v>#VALUE!</v>
      </c>
      <c r="FU1" t="e">
        <f>AND(Sheet1!K6,"AAAAAH/vOrA=")</f>
        <v>#VALUE!</v>
      </c>
      <c r="FV1" t="e">
        <f>AND(Sheet1!L6,"AAAAAH/vOrE=")</f>
        <v>#VALUE!</v>
      </c>
      <c r="FW1" t="e">
        <f>AND(Sheet1!M6,"AAAAAH/vOrI=")</f>
        <v>#VALUE!</v>
      </c>
      <c r="FX1" t="e">
        <f>AND(Sheet1!N6,"AAAAAH/vOrM=")</f>
        <v>#VALUE!</v>
      </c>
      <c r="FY1" t="e">
        <f>AND(Sheet1!#REF!,"AAAAAH/vOrQ=")</f>
        <v>#REF!</v>
      </c>
      <c r="FZ1" t="e">
        <f>AND(Sheet1!#REF!,"AAAAAH/vOrU=")</f>
        <v>#REF!</v>
      </c>
      <c r="GA1" t="e">
        <f>AND(Sheet1!O6,"AAAAAH/vOrY=")</f>
        <v>#VALUE!</v>
      </c>
      <c r="GB1" t="e">
        <f>AND(Sheet1!Q6,"AAAAAH/vOrc=")</f>
        <v>#VALUE!</v>
      </c>
      <c r="GC1" t="e">
        <f>AND(Sheet1!R6,"AAAAAH/vOrg=")</f>
        <v>#VALUE!</v>
      </c>
      <c r="GD1" t="e">
        <f>AND(Sheet1!S6,"AAAAAH/vOrk=")</f>
        <v>#VALUE!</v>
      </c>
      <c r="GE1" t="e">
        <f>AND(Sheet1!T6,"AAAAAH/vOro=")</f>
        <v>#VALUE!</v>
      </c>
      <c r="GF1" t="e">
        <f>AND(Sheet1!U6,"AAAAAH/vOrs=")</f>
        <v>#VALUE!</v>
      </c>
      <c r="GG1" t="e">
        <f>AND(Sheet1!V6,"AAAAAH/vOrw=")</f>
        <v>#VALUE!</v>
      </c>
      <c r="GH1" t="e">
        <f>AND(Sheet1!W6,"AAAAAH/vOr0=")</f>
        <v>#VALUE!</v>
      </c>
      <c r="GI1" t="e">
        <f>AND(Sheet1!X6,"AAAAAH/vOr4=")</f>
        <v>#VALUE!</v>
      </c>
      <c r="GJ1" t="e">
        <f>AND(Sheet1!#REF!,"AAAAAH/vOr8=")</f>
        <v>#REF!</v>
      </c>
      <c r="GK1" t="e">
        <f>AND(Sheet1!#REF!,"AAAAAH/vOsA=")</f>
        <v>#REF!</v>
      </c>
      <c r="GL1" t="e">
        <f>AND(Sheet1!Y6,"AAAAAH/vOsE=")</f>
        <v>#VALUE!</v>
      </c>
      <c r="GM1" t="e">
        <f>AND(Sheet1!Z6,"AAAAAH/vOsI=")</f>
        <v>#VALUE!</v>
      </c>
      <c r="GN1" t="e">
        <f>AND(Sheet1!AA6,"AAAAAH/vOsM=")</f>
        <v>#VALUE!</v>
      </c>
      <c r="GO1" t="e">
        <f>AND(Sheet1!AB6,"AAAAAH/vOsQ=")</f>
        <v>#VALUE!</v>
      </c>
      <c r="GP1" t="e">
        <f>AND(Sheet1!AC6,"AAAAAH/vOsU=")</f>
        <v>#VALUE!</v>
      </c>
      <c r="GQ1">
        <f>IF(Sheet1!7:7,"AAAAAH/vOsY=",0)</f>
        <v>0</v>
      </c>
      <c r="GR1" t="e">
        <f>AND(Sheet1!A7,"AAAAAH/vOsc=")</f>
        <v>#VALUE!</v>
      </c>
      <c r="GS1" t="e">
        <f>AND(Sheet1!B7,"AAAAAH/vOsg=")</f>
        <v>#VALUE!</v>
      </c>
      <c r="GT1" t="e">
        <f>AND(Sheet1!C7,"AAAAAH/vOsk=")</f>
        <v>#VALUE!</v>
      </c>
      <c r="GU1" t="e">
        <f>AND(Sheet1!D7,"AAAAAH/vOso=")</f>
        <v>#VALUE!</v>
      </c>
      <c r="GV1" t="e">
        <f>AND(Sheet1!E7,"AAAAAH/vOss=")</f>
        <v>#VALUE!</v>
      </c>
      <c r="GW1" t="e">
        <f>AND(Sheet1!F7,"AAAAAH/vOsw=")</f>
        <v>#VALUE!</v>
      </c>
      <c r="GX1" t="e">
        <f>AND(Sheet1!G7,"AAAAAH/vOs0=")</f>
        <v>#VALUE!</v>
      </c>
      <c r="GY1" t="e">
        <f>AND(Sheet1!H7,"AAAAAH/vOs4=")</f>
        <v>#VALUE!</v>
      </c>
      <c r="GZ1" t="e">
        <f>AND(Sheet1!I7,"AAAAAH/vOs8=")</f>
        <v>#VALUE!</v>
      </c>
      <c r="HA1" t="e">
        <f>AND(Sheet1!J7,"AAAAAH/vOtA=")</f>
        <v>#VALUE!</v>
      </c>
      <c r="HB1" t="e">
        <f>AND(Sheet1!K7,"AAAAAH/vOtE=")</f>
        <v>#VALUE!</v>
      </c>
      <c r="HC1" t="e">
        <f>AND(Sheet1!L7,"AAAAAH/vOtI=")</f>
        <v>#VALUE!</v>
      </c>
      <c r="HD1" t="e">
        <f>AND(Sheet1!M7,"AAAAAH/vOtM=")</f>
        <v>#VALUE!</v>
      </c>
      <c r="HE1" t="e">
        <f>AND(Sheet1!N7,"AAAAAH/vOtQ=")</f>
        <v>#VALUE!</v>
      </c>
      <c r="HF1" t="e">
        <f>AND(Sheet1!#REF!,"AAAAAH/vOtU=")</f>
        <v>#REF!</v>
      </c>
      <c r="HG1" t="e">
        <f>AND(Sheet1!#REF!,"AAAAAH/vOtY=")</f>
        <v>#REF!</v>
      </c>
      <c r="HH1" t="e">
        <f>AND(Sheet1!O7,"AAAAAH/vOtc=")</f>
        <v>#VALUE!</v>
      </c>
      <c r="HI1" t="e">
        <f>AND(Sheet1!Q7,"AAAAAH/vOtg=")</f>
        <v>#VALUE!</v>
      </c>
      <c r="HJ1" t="e">
        <f>AND(Sheet1!R7,"AAAAAH/vOtk=")</f>
        <v>#VALUE!</v>
      </c>
      <c r="HK1" t="e">
        <f>AND(Sheet1!S7,"AAAAAH/vOto=")</f>
        <v>#VALUE!</v>
      </c>
      <c r="HL1" t="e">
        <f>AND(Sheet1!T7,"AAAAAH/vOts=")</f>
        <v>#VALUE!</v>
      </c>
      <c r="HM1" t="e">
        <f>AND(Sheet1!U7,"AAAAAH/vOtw=")</f>
        <v>#VALUE!</v>
      </c>
      <c r="HN1" t="e">
        <f>AND(Sheet1!V7,"AAAAAH/vOt0=")</f>
        <v>#VALUE!</v>
      </c>
      <c r="HO1" t="e">
        <f>AND(Sheet1!W7,"AAAAAH/vOt4=")</f>
        <v>#VALUE!</v>
      </c>
      <c r="HP1" t="e">
        <f>AND(Sheet1!X7,"AAAAAH/vOt8=")</f>
        <v>#VALUE!</v>
      </c>
      <c r="HQ1" t="e">
        <f>AND(Sheet1!#REF!,"AAAAAH/vOuA=")</f>
        <v>#REF!</v>
      </c>
      <c r="HR1" t="e">
        <f>AND(Sheet1!#REF!,"AAAAAH/vOuE=")</f>
        <v>#REF!</v>
      </c>
      <c r="HS1" t="e">
        <f>AND(Sheet1!Y7,"AAAAAH/vOuI=")</f>
        <v>#VALUE!</v>
      </c>
      <c r="HT1" t="e">
        <f>AND(Sheet1!Z7,"AAAAAH/vOuM=")</f>
        <v>#VALUE!</v>
      </c>
      <c r="HU1" t="e">
        <f>AND(Sheet1!AA7,"AAAAAH/vOuQ=")</f>
        <v>#VALUE!</v>
      </c>
      <c r="HV1" t="e">
        <f>AND(Sheet1!AB7,"AAAAAH/vOuU=")</f>
        <v>#VALUE!</v>
      </c>
      <c r="HW1" t="e">
        <f>AND(Sheet1!AC7,"AAAAAH/vOuY=")</f>
        <v>#VALUE!</v>
      </c>
      <c r="HX1">
        <f>IF(Sheet1!8:8,"AAAAAH/vOuc=",0)</f>
        <v>0</v>
      </c>
      <c r="HY1" t="e">
        <f>AND(Sheet1!A8,"AAAAAH/vOug=")</f>
        <v>#VALUE!</v>
      </c>
      <c r="HZ1" t="e">
        <f>AND(Sheet1!B8,"AAAAAH/vOuk=")</f>
        <v>#VALUE!</v>
      </c>
      <c r="IA1" t="e">
        <f>AND(Sheet1!C8,"AAAAAH/vOuo=")</f>
        <v>#VALUE!</v>
      </c>
      <c r="IB1" t="e">
        <f>AND(Sheet1!D8,"AAAAAH/vOus=")</f>
        <v>#VALUE!</v>
      </c>
      <c r="IC1" t="e">
        <f>AND(Sheet1!E8,"AAAAAH/vOuw=")</f>
        <v>#VALUE!</v>
      </c>
      <c r="ID1" t="e">
        <f>AND(Sheet1!F8,"AAAAAH/vOu0=")</f>
        <v>#VALUE!</v>
      </c>
      <c r="IE1" t="e">
        <f>AND(Sheet1!G8,"AAAAAH/vOu4=")</f>
        <v>#VALUE!</v>
      </c>
      <c r="IF1" t="e">
        <f>AND(Sheet1!H8,"AAAAAH/vOu8=")</f>
        <v>#VALUE!</v>
      </c>
      <c r="IG1" t="e">
        <f>AND(Sheet1!I8,"AAAAAH/vOvA=")</f>
        <v>#VALUE!</v>
      </c>
      <c r="IH1" t="e">
        <f>AND(Sheet1!J8,"AAAAAH/vOvE=")</f>
        <v>#VALUE!</v>
      </c>
      <c r="II1" t="e">
        <f>AND(Sheet1!K8,"AAAAAH/vOvI=")</f>
        <v>#VALUE!</v>
      </c>
      <c r="IJ1" t="e">
        <f>AND(Sheet1!L8,"AAAAAH/vOvM=")</f>
        <v>#VALUE!</v>
      </c>
      <c r="IK1" t="e">
        <f>AND(Sheet1!M8,"AAAAAH/vOvQ=")</f>
        <v>#VALUE!</v>
      </c>
      <c r="IL1" t="e">
        <f>AND(Sheet1!N8,"AAAAAH/vOvU=")</f>
        <v>#VALUE!</v>
      </c>
      <c r="IM1" t="e">
        <f>AND(Sheet1!#REF!,"AAAAAH/vOvY=")</f>
        <v>#REF!</v>
      </c>
      <c r="IN1" t="e">
        <f>AND(Sheet1!#REF!,"AAAAAH/vOvc=")</f>
        <v>#REF!</v>
      </c>
      <c r="IO1" t="e">
        <f>AND(Sheet1!O8,"AAAAAH/vOvg=")</f>
        <v>#VALUE!</v>
      </c>
      <c r="IP1" t="e">
        <f>AND(Sheet1!Q8,"AAAAAH/vOvk=")</f>
        <v>#VALUE!</v>
      </c>
      <c r="IQ1" t="e">
        <f>AND(Sheet1!R8,"AAAAAH/vOvo=")</f>
        <v>#VALUE!</v>
      </c>
      <c r="IR1" t="e">
        <f>AND(Sheet1!S8,"AAAAAH/vOvs=")</f>
        <v>#VALUE!</v>
      </c>
      <c r="IS1" t="e">
        <f>AND(Sheet1!T8,"AAAAAH/vOvw=")</f>
        <v>#VALUE!</v>
      </c>
      <c r="IT1" t="e">
        <f>AND(Sheet1!U8,"AAAAAH/vOv0=")</f>
        <v>#VALUE!</v>
      </c>
      <c r="IU1" t="e">
        <f>AND(Sheet1!V8,"AAAAAH/vOv4=")</f>
        <v>#VALUE!</v>
      </c>
      <c r="IV1" t="e">
        <f>AND(Sheet1!W8,"AAAAAH/vOv8=")</f>
        <v>#VALUE!</v>
      </c>
    </row>
    <row r="2" spans="1:256" x14ac:dyDescent="0.25">
      <c r="A2" t="e">
        <f>AND(Sheet1!X8,"AAAAACf8/wA=")</f>
        <v>#VALUE!</v>
      </c>
      <c r="B2" t="e">
        <f>AND(Sheet1!#REF!,"AAAAACf8/wE=")</f>
        <v>#REF!</v>
      </c>
      <c r="C2" t="e">
        <f>AND(Sheet1!#REF!,"AAAAACf8/wI=")</f>
        <v>#REF!</v>
      </c>
      <c r="D2" t="e">
        <f>AND(Sheet1!Y8,"AAAAACf8/wM=")</f>
        <v>#VALUE!</v>
      </c>
      <c r="E2" t="e">
        <f>AND(Sheet1!Z8,"AAAAACf8/wQ=")</f>
        <v>#VALUE!</v>
      </c>
      <c r="F2" t="e">
        <f>AND(Sheet1!AA8,"AAAAACf8/wU=")</f>
        <v>#VALUE!</v>
      </c>
      <c r="G2" t="e">
        <f>AND(Sheet1!AB8,"AAAAACf8/wY=")</f>
        <v>#VALUE!</v>
      </c>
      <c r="H2" t="e">
        <f>AND(Sheet1!AC8,"AAAAACf8/wc=")</f>
        <v>#VALUE!</v>
      </c>
      <c r="I2">
        <f>IF(Sheet1!9:9,"AAAAACf8/wg=",0)</f>
        <v>0</v>
      </c>
      <c r="J2" t="e">
        <f>AND(Sheet1!A9,"AAAAACf8/wk=")</f>
        <v>#VALUE!</v>
      </c>
      <c r="K2" t="e">
        <f>AND(Sheet1!B9,"AAAAACf8/wo=")</f>
        <v>#VALUE!</v>
      </c>
      <c r="L2" t="e">
        <f>AND(Sheet1!C9,"AAAAACf8/ws=")</f>
        <v>#VALUE!</v>
      </c>
      <c r="M2" t="e">
        <f>AND(Sheet1!D9,"AAAAACf8/ww=")</f>
        <v>#VALUE!</v>
      </c>
      <c r="N2" t="e">
        <f>AND(Sheet1!E9,"AAAAACf8/w0=")</f>
        <v>#VALUE!</v>
      </c>
      <c r="O2" t="e">
        <f>AND(Sheet1!F9,"AAAAACf8/w4=")</f>
        <v>#VALUE!</v>
      </c>
      <c r="P2" t="e">
        <f>AND(Sheet1!G9,"AAAAACf8/w8=")</f>
        <v>#VALUE!</v>
      </c>
      <c r="Q2" t="e">
        <f>AND(Sheet1!H9,"AAAAACf8/xA=")</f>
        <v>#VALUE!</v>
      </c>
      <c r="R2" t="e">
        <f>AND(Sheet1!I9,"AAAAACf8/xE=")</f>
        <v>#VALUE!</v>
      </c>
      <c r="S2" t="e">
        <f>AND(Sheet1!J9,"AAAAACf8/xI=")</f>
        <v>#VALUE!</v>
      </c>
      <c r="T2" t="e">
        <f>AND(Sheet1!K9,"AAAAACf8/xM=")</f>
        <v>#VALUE!</v>
      </c>
      <c r="U2" t="e">
        <f>AND(Sheet1!L9,"AAAAACf8/xQ=")</f>
        <v>#VALUE!</v>
      </c>
      <c r="V2" t="e">
        <f>AND(Sheet1!#REF!,"AAAAACf8/xU=")</f>
        <v>#REF!</v>
      </c>
      <c r="W2" t="e">
        <f>AND(Sheet1!M9,"AAAAACf8/xY=")</f>
        <v>#VALUE!</v>
      </c>
      <c r="X2" t="e">
        <f>AND(Sheet1!#REF!,"AAAAACf8/xc=")</f>
        <v>#REF!</v>
      </c>
      <c r="Y2" t="e">
        <f>AND(Sheet1!#REF!,"AAAAACf8/xg=")</f>
        <v>#REF!</v>
      </c>
      <c r="Z2" t="e">
        <f>AND(Sheet1!O9,"AAAAACf8/xk=")</f>
        <v>#VALUE!</v>
      </c>
      <c r="AA2" t="e">
        <f>AND(Sheet1!Q9,"AAAAACf8/xo=")</f>
        <v>#VALUE!</v>
      </c>
      <c r="AB2" t="e">
        <f>AND(Sheet1!R9,"AAAAACf8/xs=")</f>
        <v>#VALUE!</v>
      </c>
      <c r="AC2" t="e">
        <f>AND(Sheet1!S9,"AAAAACf8/xw=")</f>
        <v>#VALUE!</v>
      </c>
      <c r="AD2" t="e">
        <f>AND(Sheet1!T9,"AAAAACf8/x0=")</f>
        <v>#VALUE!</v>
      </c>
      <c r="AE2" t="e">
        <f>AND(Sheet1!U9,"AAAAACf8/x4=")</f>
        <v>#VALUE!</v>
      </c>
      <c r="AF2" t="e">
        <f>AND(Sheet1!V9,"AAAAACf8/x8=")</f>
        <v>#VALUE!</v>
      </c>
      <c r="AG2" t="e">
        <f>AND(Sheet1!W9,"AAAAACf8/yA=")</f>
        <v>#VALUE!</v>
      </c>
      <c r="AH2" t="e">
        <f>AND(Sheet1!X9,"AAAAACf8/yE=")</f>
        <v>#VALUE!</v>
      </c>
      <c r="AI2" t="e">
        <f>AND(Sheet1!#REF!,"AAAAACf8/yI=")</f>
        <v>#REF!</v>
      </c>
      <c r="AJ2" t="e">
        <f>AND(Sheet1!#REF!,"AAAAACf8/yM=")</f>
        <v>#REF!</v>
      </c>
      <c r="AK2" t="e">
        <f>AND(Sheet1!Y9,"AAAAACf8/yQ=")</f>
        <v>#VALUE!</v>
      </c>
      <c r="AL2" t="e">
        <f>AND(Sheet1!Z9,"AAAAACf8/yU=")</f>
        <v>#VALUE!</v>
      </c>
      <c r="AM2" t="e">
        <f>AND(Sheet1!AA9,"AAAAACf8/yY=")</f>
        <v>#VALUE!</v>
      </c>
      <c r="AN2" t="e">
        <f>AND(Sheet1!AB9,"AAAAACf8/yc=")</f>
        <v>#VALUE!</v>
      </c>
      <c r="AO2" t="e">
        <f>AND(Sheet1!AC9,"AAAAACf8/yg=")</f>
        <v>#VALUE!</v>
      </c>
      <c r="AP2">
        <f>IF(Sheet1!10:10,"AAAAACf8/yk=",0)</f>
        <v>0</v>
      </c>
      <c r="AQ2" t="e">
        <f>AND(Sheet1!A10,"AAAAACf8/yo=")</f>
        <v>#VALUE!</v>
      </c>
      <c r="AR2" t="e">
        <f>AND(Sheet1!B10,"AAAAACf8/ys=")</f>
        <v>#VALUE!</v>
      </c>
      <c r="AS2" t="e">
        <f>AND(Sheet1!C10,"AAAAACf8/yw=")</f>
        <v>#VALUE!</v>
      </c>
      <c r="AT2" t="e">
        <f>AND(Sheet1!D10,"AAAAACf8/y0=")</f>
        <v>#VALUE!</v>
      </c>
      <c r="AU2" t="e">
        <f>AND(Sheet1!E10,"AAAAACf8/y4=")</f>
        <v>#VALUE!</v>
      </c>
      <c r="AV2" t="e">
        <f>AND(Sheet1!F10,"AAAAACf8/y8=")</f>
        <v>#VALUE!</v>
      </c>
      <c r="AW2" t="e">
        <f>AND(Sheet1!G10,"AAAAACf8/zA=")</f>
        <v>#VALUE!</v>
      </c>
      <c r="AX2" t="e">
        <f>AND(Sheet1!H10,"AAAAACf8/zE=")</f>
        <v>#VALUE!</v>
      </c>
      <c r="AY2" t="e">
        <f>AND(Sheet1!I10,"AAAAACf8/zI=")</f>
        <v>#VALUE!</v>
      </c>
      <c r="AZ2" t="e">
        <f>AND(Sheet1!J10,"AAAAACf8/zM=")</f>
        <v>#VALUE!</v>
      </c>
      <c r="BA2" t="e">
        <f>AND(Sheet1!K10,"AAAAACf8/zQ=")</f>
        <v>#VALUE!</v>
      </c>
      <c r="BB2" t="e">
        <f>AND(Sheet1!L10,"AAAAACf8/zU=")</f>
        <v>#VALUE!</v>
      </c>
      <c r="BC2" t="e">
        <f>AND(Sheet1!M10,"AAAAACf8/zY=")</f>
        <v>#VALUE!</v>
      </c>
      <c r="BD2" t="e">
        <f>AND(Sheet1!N10,"AAAAACf8/zc=")</f>
        <v>#VALUE!</v>
      </c>
      <c r="BE2" t="e">
        <f>AND(Sheet1!#REF!,"AAAAACf8/zg=")</f>
        <v>#REF!</v>
      </c>
      <c r="BF2" t="e">
        <f>AND(Sheet1!#REF!,"AAAAACf8/zk=")</f>
        <v>#REF!</v>
      </c>
      <c r="BG2" t="e">
        <f>AND(Sheet1!O10,"AAAAACf8/zo=")</f>
        <v>#VALUE!</v>
      </c>
      <c r="BH2" t="e">
        <f>AND(Sheet1!Q10,"AAAAACf8/zs=")</f>
        <v>#VALUE!</v>
      </c>
      <c r="BI2" t="e">
        <f>AND(Sheet1!R10,"AAAAACf8/zw=")</f>
        <v>#VALUE!</v>
      </c>
      <c r="BJ2" t="e">
        <f>AND(Sheet1!S10,"AAAAACf8/z0=")</f>
        <v>#VALUE!</v>
      </c>
      <c r="BK2" t="e">
        <f>AND(Sheet1!T10,"AAAAACf8/z4=")</f>
        <v>#VALUE!</v>
      </c>
      <c r="BL2" t="e">
        <f>AND(Sheet1!U10,"AAAAACf8/z8=")</f>
        <v>#VALUE!</v>
      </c>
      <c r="BM2" t="e">
        <f>AND(Sheet1!V10,"AAAAACf8/0A=")</f>
        <v>#VALUE!</v>
      </c>
      <c r="BN2" t="e">
        <f>AND(Sheet1!W10,"AAAAACf8/0E=")</f>
        <v>#VALUE!</v>
      </c>
      <c r="BO2" t="e">
        <f>AND(Sheet1!X10,"AAAAACf8/0I=")</f>
        <v>#VALUE!</v>
      </c>
      <c r="BP2" t="e">
        <f>AND(Sheet1!#REF!,"AAAAACf8/0M=")</f>
        <v>#REF!</v>
      </c>
      <c r="BQ2" t="e">
        <f>AND(Sheet1!#REF!,"AAAAACf8/0Q=")</f>
        <v>#REF!</v>
      </c>
      <c r="BR2" t="e">
        <f>AND(Sheet1!Y10,"AAAAACf8/0U=")</f>
        <v>#VALUE!</v>
      </c>
      <c r="BS2" t="e">
        <f>AND(Sheet1!Z10,"AAAAACf8/0Y=")</f>
        <v>#VALUE!</v>
      </c>
      <c r="BT2" t="e">
        <f>AND(Sheet1!AA10,"AAAAACf8/0c=")</f>
        <v>#VALUE!</v>
      </c>
      <c r="BU2" t="e">
        <f>AND(Sheet1!AB10,"AAAAACf8/0g=")</f>
        <v>#VALUE!</v>
      </c>
      <c r="BV2" t="e">
        <f>AND(Sheet1!AC10,"AAAAACf8/0k=")</f>
        <v>#VALUE!</v>
      </c>
      <c r="BW2">
        <f>IF(Sheet1!11:11,"AAAAACf8/0o=",0)</f>
        <v>0</v>
      </c>
      <c r="BX2" t="e">
        <f>AND(Sheet1!A11,"AAAAACf8/0s=")</f>
        <v>#VALUE!</v>
      </c>
      <c r="BY2" t="e">
        <f>AND(Sheet1!B11,"AAAAACf8/0w=")</f>
        <v>#VALUE!</v>
      </c>
      <c r="BZ2" t="e">
        <f>AND(Sheet1!C11,"AAAAACf8/00=")</f>
        <v>#VALUE!</v>
      </c>
      <c r="CA2" t="e">
        <f>AND(Sheet1!D11,"AAAAACf8/04=")</f>
        <v>#VALUE!</v>
      </c>
      <c r="CB2" t="e">
        <f>AND(Sheet1!E11,"AAAAACf8/08=")</f>
        <v>#VALUE!</v>
      </c>
      <c r="CC2" t="e">
        <f>AND(Sheet1!F11,"AAAAACf8/1A=")</f>
        <v>#VALUE!</v>
      </c>
      <c r="CD2" t="e">
        <f>AND(Sheet1!G11,"AAAAACf8/1E=")</f>
        <v>#VALUE!</v>
      </c>
      <c r="CE2" t="e">
        <f>AND(Sheet1!H11,"AAAAACf8/1I=")</f>
        <v>#VALUE!</v>
      </c>
      <c r="CF2" t="e">
        <f>AND(Sheet1!I11,"AAAAACf8/1M=")</f>
        <v>#VALUE!</v>
      </c>
      <c r="CG2" t="e">
        <f>AND(Sheet1!J11,"AAAAACf8/1Q=")</f>
        <v>#VALUE!</v>
      </c>
      <c r="CH2" t="e">
        <f>AND(Sheet1!K11,"AAAAACf8/1U=")</f>
        <v>#VALUE!</v>
      </c>
      <c r="CI2" t="e">
        <f>AND(Sheet1!L11,"AAAAACf8/1Y=")</f>
        <v>#VALUE!</v>
      </c>
      <c r="CJ2" t="e">
        <f>AND(Sheet1!M11,"AAAAACf8/1c=")</f>
        <v>#VALUE!</v>
      </c>
      <c r="CK2" t="e">
        <f>AND(Sheet1!N11,"AAAAACf8/1g=")</f>
        <v>#VALUE!</v>
      </c>
      <c r="CL2" t="e">
        <f>AND(Sheet1!#REF!,"AAAAACf8/1k=")</f>
        <v>#REF!</v>
      </c>
      <c r="CM2" t="e">
        <f>AND(Sheet1!#REF!,"AAAAACf8/1o=")</f>
        <v>#REF!</v>
      </c>
      <c r="CN2" t="e">
        <f>AND(Sheet1!O11,"AAAAACf8/1s=")</f>
        <v>#VALUE!</v>
      </c>
      <c r="CO2" t="e">
        <f>AND(Sheet1!Q11,"AAAAACf8/1w=")</f>
        <v>#VALUE!</v>
      </c>
      <c r="CP2" t="e">
        <f>AND(Sheet1!R11,"AAAAACf8/10=")</f>
        <v>#VALUE!</v>
      </c>
      <c r="CQ2" t="e">
        <f>AND(Sheet1!S11,"AAAAACf8/14=")</f>
        <v>#VALUE!</v>
      </c>
      <c r="CR2" t="e">
        <f>AND(Sheet1!T11,"AAAAACf8/18=")</f>
        <v>#VALUE!</v>
      </c>
      <c r="CS2" t="e">
        <f>AND(Sheet1!U11,"AAAAACf8/2A=")</f>
        <v>#VALUE!</v>
      </c>
      <c r="CT2" t="e">
        <f>AND(Sheet1!V11,"AAAAACf8/2E=")</f>
        <v>#VALUE!</v>
      </c>
      <c r="CU2" t="e">
        <f>AND(Sheet1!W11,"AAAAACf8/2I=")</f>
        <v>#VALUE!</v>
      </c>
      <c r="CV2" t="e">
        <f>AND(Sheet1!X11,"AAAAACf8/2M=")</f>
        <v>#VALUE!</v>
      </c>
      <c r="CW2" t="e">
        <f>AND(Sheet1!#REF!,"AAAAACf8/2Q=")</f>
        <v>#REF!</v>
      </c>
      <c r="CX2" t="e">
        <f>AND(Sheet1!#REF!,"AAAAACf8/2U=")</f>
        <v>#REF!</v>
      </c>
      <c r="CY2" t="e">
        <f>AND(Sheet1!Y11,"AAAAACf8/2Y=")</f>
        <v>#VALUE!</v>
      </c>
      <c r="CZ2" t="e">
        <f>AND(Sheet1!Z11,"AAAAACf8/2c=")</f>
        <v>#VALUE!</v>
      </c>
      <c r="DA2" t="e">
        <f>AND(Sheet1!AA11,"AAAAACf8/2g=")</f>
        <v>#VALUE!</v>
      </c>
      <c r="DB2" t="e">
        <f>AND(Sheet1!AB11,"AAAAACf8/2k=")</f>
        <v>#VALUE!</v>
      </c>
      <c r="DC2" t="e">
        <f>AND(Sheet1!AC11,"AAAAACf8/2o=")</f>
        <v>#VALUE!</v>
      </c>
      <c r="DD2">
        <f>IF(Sheet1!12:12,"AAAAACf8/2s=",0)</f>
        <v>0</v>
      </c>
      <c r="DE2" t="e">
        <f>AND(Sheet1!A12,"AAAAACf8/2w=")</f>
        <v>#VALUE!</v>
      </c>
      <c r="DF2" t="e">
        <f>AND(Sheet1!B12,"AAAAACf8/20=")</f>
        <v>#VALUE!</v>
      </c>
      <c r="DG2" t="e">
        <f>AND(Sheet1!C12,"AAAAACf8/24=")</f>
        <v>#VALUE!</v>
      </c>
      <c r="DH2" t="e">
        <f>AND(Sheet1!D12,"AAAAACf8/28=")</f>
        <v>#VALUE!</v>
      </c>
      <c r="DI2" t="e">
        <f>AND(Sheet1!E12,"AAAAACf8/3A=")</f>
        <v>#VALUE!</v>
      </c>
      <c r="DJ2" t="e">
        <f>AND(Sheet1!F12,"AAAAACf8/3E=")</f>
        <v>#VALUE!</v>
      </c>
      <c r="DK2" t="e">
        <f>AND(Sheet1!G12,"AAAAACf8/3I=")</f>
        <v>#VALUE!</v>
      </c>
      <c r="DL2" t="e">
        <f>AND(Sheet1!H12,"AAAAACf8/3M=")</f>
        <v>#VALUE!</v>
      </c>
      <c r="DM2" t="e">
        <f>AND(Sheet1!I12,"AAAAACf8/3Q=")</f>
        <v>#VALUE!</v>
      </c>
      <c r="DN2" t="e">
        <f>AND(Sheet1!J12,"AAAAACf8/3U=")</f>
        <v>#VALUE!</v>
      </c>
      <c r="DO2" t="e">
        <f>AND(Sheet1!K12,"AAAAACf8/3Y=")</f>
        <v>#VALUE!</v>
      </c>
      <c r="DP2" t="e">
        <f>AND(Sheet1!L12,"AAAAACf8/3c=")</f>
        <v>#VALUE!</v>
      </c>
      <c r="DQ2" t="e">
        <f>AND(Sheet1!M12,"AAAAACf8/3g=")</f>
        <v>#VALUE!</v>
      </c>
      <c r="DR2" t="e">
        <f>AND(Sheet1!N12,"AAAAACf8/3k=")</f>
        <v>#VALUE!</v>
      </c>
      <c r="DS2" t="e">
        <f>AND(Sheet1!#REF!,"AAAAACf8/3o=")</f>
        <v>#REF!</v>
      </c>
      <c r="DT2" t="e">
        <f>AND(Sheet1!#REF!,"AAAAACf8/3s=")</f>
        <v>#REF!</v>
      </c>
      <c r="DU2" t="e">
        <f>AND(Sheet1!O12,"AAAAACf8/3w=")</f>
        <v>#VALUE!</v>
      </c>
      <c r="DV2" t="e">
        <f>AND(Sheet1!Q12,"AAAAACf8/30=")</f>
        <v>#VALUE!</v>
      </c>
      <c r="DW2" t="e">
        <f>AND(Sheet1!R12,"AAAAACf8/34=")</f>
        <v>#VALUE!</v>
      </c>
      <c r="DX2" t="e">
        <f>AND(Sheet1!S12,"AAAAACf8/38=")</f>
        <v>#VALUE!</v>
      </c>
      <c r="DY2" t="e">
        <f>AND(Sheet1!T12,"AAAAACf8/4A=")</f>
        <v>#VALUE!</v>
      </c>
      <c r="DZ2" t="e">
        <f>AND(Sheet1!U12,"AAAAACf8/4E=")</f>
        <v>#VALUE!</v>
      </c>
      <c r="EA2" t="e">
        <f>AND(Sheet1!V12,"AAAAACf8/4I=")</f>
        <v>#VALUE!</v>
      </c>
      <c r="EB2" t="e">
        <f>AND(Sheet1!W12,"AAAAACf8/4M=")</f>
        <v>#VALUE!</v>
      </c>
      <c r="EC2" t="e">
        <f>AND(Sheet1!X12,"AAAAACf8/4Q=")</f>
        <v>#VALUE!</v>
      </c>
      <c r="ED2" t="e">
        <f>AND(Sheet1!#REF!,"AAAAACf8/4U=")</f>
        <v>#REF!</v>
      </c>
      <c r="EE2" t="e">
        <f>AND(Sheet1!#REF!,"AAAAACf8/4Y=")</f>
        <v>#REF!</v>
      </c>
      <c r="EF2" t="e">
        <f>AND(Sheet1!Y12,"AAAAACf8/4c=")</f>
        <v>#VALUE!</v>
      </c>
      <c r="EG2" t="e">
        <f>AND(Sheet1!Z12,"AAAAACf8/4g=")</f>
        <v>#VALUE!</v>
      </c>
      <c r="EH2" t="e">
        <f>AND(Sheet1!AA12,"AAAAACf8/4k=")</f>
        <v>#VALUE!</v>
      </c>
      <c r="EI2" t="e">
        <f>AND(Sheet1!AB12,"AAAAACf8/4o=")</f>
        <v>#VALUE!</v>
      </c>
      <c r="EJ2" t="e">
        <f>AND(Sheet1!AC12,"AAAAACf8/4s=")</f>
        <v>#VALUE!</v>
      </c>
      <c r="EK2">
        <f>IF(Sheet1!13:13,"AAAAACf8/4w=",0)</f>
        <v>0</v>
      </c>
      <c r="EL2" t="e">
        <f>AND(Sheet1!A13,"AAAAACf8/40=")</f>
        <v>#VALUE!</v>
      </c>
      <c r="EM2" t="e">
        <f>AND(Sheet1!B13,"AAAAACf8/44=")</f>
        <v>#VALUE!</v>
      </c>
      <c r="EN2" t="e">
        <f>AND(Sheet1!C13,"AAAAACf8/48=")</f>
        <v>#VALUE!</v>
      </c>
      <c r="EO2" t="e">
        <f>AND(Sheet1!D13,"AAAAACf8/5A=")</f>
        <v>#VALUE!</v>
      </c>
      <c r="EP2" t="e">
        <f>AND(Sheet1!E13,"AAAAACf8/5E=")</f>
        <v>#VALUE!</v>
      </c>
      <c r="EQ2" t="e">
        <f>AND(Sheet1!F13,"AAAAACf8/5I=")</f>
        <v>#VALUE!</v>
      </c>
      <c r="ER2" t="e">
        <f>AND(Sheet1!G13,"AAAAACf8/5M=")</f>
        <v>#VALUE!</v>
      </c>
      <c r="ES2" t="e">
        <f>AND(Sheet1!H13,"AAAAACf8/5Q=")</f>
        <v>#VALUE!</v>
      </c>
      <c r="ET2" t="e">
        <f>AND(Sheet1!I13,"AAAAACf8/5U=")</f>
        <v>#VALUE!</v>
      </c>
      <c r="EU2" t="e">
        <f>AND(Sheet1!J13,"AAAAACf8/5Y=")</f>
        <v>#VALUE!</v>
      </c>
      <c r="EV2" t="e">
        <f>AND(Sheet1!K13,"AAAAACf8/5c=")</f>
        <v>#VALUE!</v>
      </c>
      <c r="EW2" t="e">
        <f>AND(Sheet1!L13,"AAAAACf8/5g=")</f>
        <v>#VALUE!</v>
      </c>
      <c r="EX2" t="e">
        <f>AND(Sheet1!M13,"AAAAACf8/5k=")</f>
        <v>#VALUE!</v>
      </c>
      <c r="EY2" t="e">
        <f>AND(Sheet1!N13,"AAAAACf8/5o=")</f>
        <v>#VALUE!</v>
      </c>
      <c r="EZ2" t="e">
        <f>AND(Sheet1!#REF!,"AAAAACf8/5s=")</f>
        <v>#REF!</v>
      </c>
      <c r="FA2" t="e">
        <f>AND(Sheet1!#REF!,"AAAAACf8/5w=")</f>
        <v>#REF!</v>
      </c>
      <c r="FB2" t="e">
        <f>AND(Sheet1!O13,"AAAAACf8/50=")</f>
        <v>#VALUE!</v>
      </c>
      <c r="FC2" t="e">
        <f>AND(Sheet1!Q13,"AAAAACf8/54=")</f>
        <v>#VALUE!</v>
      </c>
      <c r="FD2" t="e">
        <f>AND(Sheet1!R13,"AAAAACf8/58=")</f>
        <v>#VALUE!</v>
      </c>
      <c r="FE2" t="e">
        <f>AND(Sheet1!S13,"AAAAACf8/6A=")</f>
        <v>#VALUE!</v>
      </c>
      <c r="FF2" t="e">
        <f>AND(Sheet1!T13,"AAAAACf8/6E=")</f>
        <v>#VALUE!</v>
      </c>
      <c r="FG2" t="e">
        <f>AND(Sheet1!U13,"AAAAACf8/6I=")</f>
        <v>#VALUE!</v>
      </c>
      <c r="FH2" t="e">
        <f>AND(Sheet1!V13,"AAAAACf8/6M=")</f>
        <v>#VALUE!</v>
      </c>
      <c r="FI2" t="e">
        <f>AND(Sheet1!W13,"AAAAACf8/6Q=")</f>
        <v>#VALUE!</v>
      </c>
      <c r="FJ2" t="e">
        <f>AND(Sheet1!X13,"AAAAACf8/6U=")</f>
        <v>#VALUE!</v>
      </c>
      <c r="FK2" t="e">
        <f>AND(Sheet1!#REF!,"AAAAACf8/6Y=")</f>
        <v>#REF!</v>
      </c>
      <c r="FL2" t="e">
        <f>AND(Sheet1!#REF!,"AAAAACf8/6c=")</f>
        <v>#REF!</v>
      </c>
      <c r="FM2" t="e">
        <f>AND(Sheet1!Y13,"AAAAACf8/6g=")</f>
        <v>#VALUE!</v>
      </c>
      <c r="FN2" t="e">
        <f>AND(Sheet1!Z13,"AAAAACf8/6k=")</f>
        <v>#VALUE!</v>
      </c>
      <c r="FO2" t="e">
        <f>AND(Sheet1!AA13,"AAAAACf8/6o=")</f>
        <v>#VALUE!</v>
      </c>
      <c r="FP2" t="e">
        <f>AND(Sheet1!AB13,"AAAAACf8/6s=")</f>
        <v>#VALUE!</v>
      </c>
      <c r="FQ2" t="e">
        <f>AND(Sheet1!AC13,"AAAAACf8/6w=")</f>
        <v>#VALUE!</v>
      </c>
      <c r="FR2">
        <f>IF(Sheet1!14:14,"AAAAACf8/60=",0)</f>
        <v>0</v>
      </c>
      <c r="FS2" t="e">
        <f>AND(Sheet1!A14,"AAAAACf8/64=")</f>
        <v>#VALUE!</v>
      </c>
      <c r="FT2" t="e">
        <f>AND(Sheet1!B14,"AAAAACf8/68=")</f>
        <v>#VALUE!</v>
      </c>
      <c r="FU2" t="e">
        <f>AND(Sheet1!C14,"AAAAACf8/7A=")</f>
        <v>#VALUE!</v>
      </c>
      <c r="FV2" t="e">
        <f>AND(Sheet1!D14,"AAAAACf8/7E=")</f>
        <v>#VALUE!</v>
      </c>
      <c r="FW2" t="e">
        <f>AND(Sheet1!E14,"AAAAACf8/7I=")</f>
        <v>#VALUE!</v>
      </c>
      <c r="FX2" t="e">
        <f>AND(Sheet1!F14,"AAAAACf8/7M=")</f>
        <v>#VALUE!</v>
      </c>
      <c r="FY2" t="e">
        <f>AND(Sheet1!G14,"AAAAACf8/7Q=")</f>
        <v>#VALUE!</v>
      </c>
      <c r="FZ2" t="e">
        <f>AND(Sheet1!H14,"AAAAACf8/7U=")</f>
        <v>#VALUE!</v>
      </c>
      <c r="GA2" t="e">
        <f>AND(Sheet1!I14,"AAAAACf8/7Y=")</f>
        <v>#VALUE!</v>
      </c>
      <c r="GB2" t="e">
        <f>AND(Sheet1!J14,"AAAAACf8/7c=")</f>
        <v>#VALUE!</v>
      </c>
      <c r="GC2" t="e">
        <f>AND(Sheet1!K14,"AAAAACf8/7g=")</f>
        <v>#VALUE!</v>
      </c>
      <c r="GD2" t="e">
        <f>AND(Sheet1!L14,"AAAAACf8/7k=")</f>
        <v>#VALUE!</v>
      </c>
      <c r="GE2" t="e">
        <f>AND(Sheet1!M14,"AAAAACf8/7o=")</f>
        <v>#VALUE!</v>
      </c>
      <c r="GF2" t="e">
        <f>AND(Sheet1!N14,"AAAAACf8/7s=")</f>
        <v>#VALUE!</v>
      </c>
      <c r="GG2" t="e">
        <f>AND(Sheet1!#REF!,"AAAAACf8/7w=")</f>
        <v>#REF!</v>
      </c>
      <c r="GH2" t="e">
        <f>AND(Sheet1!#REF!,"AAAAACf8/70=")</f>
        <v>#REF!</v>
      </c>
      <c r="GI2" t="e">
        <f>AND(Sheet1!O14,"AAAAACf8/74=")</f>
        <v>#VALUE!</v>
      </c>
      <c r="GJ2" t="e">
        <f>AND(Sheet1!Q14,"AAAAACf8/78=")</f>
        <v>#VALUE!</v>
      </c>
      <c r="GK2" t="e">
        <f>AND(Sheet1!R14,"AAAAACf8/8A=")</f>
        <v>#VALUE!</v>
      </c>
      <c r="GL2" t="e">
        <f>AND(Sheet1!S14,"AAAAACf8/8E=")</f>
        <v>#VALUE!</v>
      </c>
      <c r="GM2" t="e">
        <f>AND(Sheet1!T14,"AAAAACf8/8I=")</f>
        <v>#VALUE!</v>
      </c>
      <c r="GN2" t="e">
        <f>AND(Sheet1!U14,"AAAAACf8/8M=")</f>
        <v>#VALUE!</v>
      </c>
      <c r="GO2" t="e">
        <f>AND(Sheet1!V14,"AAAAACf8/8Q=")</f>
        <v>#VALUE!</v>
      </c>
      <c r="GP2" t="e">
        <f>AND(Sheet1!W14,"AAAAACf8/8U=")</f>
        <v>#VALUE!</v>
      </c>
      <c r="GQ2" t="e">
        <f>AND(Sheet1!X14,"AAAAACf8/8Y=")</f>
        <v>#VALUE!</v>
      </c>
      <c r="GR2" t="e">
        <f>AND(Sheet1!#REF!,"AAAAACf8/8c=")</f>
        <v>#REF!</v>
      </c>
      <c r="GS2" t="e">
        <f>AND(Sheet1!#REF!,"AAAAACf8/8g=")</f>
        <v>#REF!</v>
      </c>
      <c r="GT2" t="e">
        <f>AND(Sheet1!Y14,"AAAAACf8/8k=")</f>
        <v>#VALUE!</v>
      </c>
      <c r="GU2" t="e">
        <f>AND(Sheet1!Z14,"AAAAACf8/8o=")</f>
        <v>#VALUE!</v>
      </c>
      <c r="GV2" t="e">
        <f>AND(Sheet1!AA14,"AAAAACf8/8s=")</f>
        <v>#VALUE!</v>
      </c>
      <c r="GW2" t="e">
        <f>AND(Sheet1!AB14,"AAAAACf8/8w=")</f>
        <v>#VALUE!</v>
      </c>
      <c r="GX2" t="e">
        <f>AND(Sheet1!AC14,"AAAAACf8/80=")</f>
        <v>#VALUE!</v>
      </c>
      <c r="GY2">
        <f>IF(Sheet1!15:15,"AAAAACf8/84=",0)</f>
        <v>0</v>
      </c>
      <c r="GZ2" t="e">
        <f>AND(Sheet1!A15,"AAAAACf8/88=")</f>
        <v>#VALUE!</v>
      </c>
      <c r="HA2" t="e">
        <f>AND(Sheet1!B15,"AAAAACf8/9A=")</f>
        <v>#VALUE!</v>
      </c>
      <c r="HB2" t="e">
        <f>AND(Sheet1!C15,"AAAAACf8/9E=")</f>
        <v>#VALUE!</v>
      </c>
      <c r="HC2" t="e">
        <f>AND(Sheet1!D15,"AAAAACf8/9I=")</f>
        <v>#VALUE!</v>
      </c>
      <c r="HD2" t="e">
        <f>AND(Sheet1!E15,"AAAAACf8/9M=")</f>
        <v>#VALUE!</v>
      </c>
      <c r="HE2" t="e">
        <f>AND(Sheet1!F15,"AAAAACf8/9Q=")</f>
        <v>#VALUE!</v>
      </c>
      <c r="HF2" t="e">
        <f>AND(Sheet1!G15,"AAAAACf8/9U=")</f>
        <v>#VALUE!</v>
      </c>
      <c r="HG2" t="e">
        <f>AND(Sheet1!H15,"AAAAACf8/9Y=")</f>
        <v>#VALUE!</v>
      </c>
      <c r="HH2" t="e">
        <f>AND(Sheet1!I15,"AAAAACf8/9c=")</f>
        <v>#VALUE!</v>
      </c>
      <c r="HI2" t="e">
        <f>AND(Sheet1!J15,"AAAAACf8/9g=")</f>
        <v>#VALUE!</v>
      </c>
      <c r="HJ2" t="e">
        <f>AND(Sheet1!K15,"AAAAACf8/9k=")</f>
        <v>#VALUE!</v>
      </c>
      <c r="HK2" t="e">
        <f>AND(Sheet1!L15,"AAAAACf8/9o=")</f>
        <v>#VALUE!</v>
      </c>
      <c r="HL2" t="e">
        <f>AND(Sheet1!M15,"AAAAACf8/9s=")</f>
        <v>#VALUE!</v>
      </c>
      <c r="HM2" t="e">
        <f>AND(Sheet1!N15,"AAAAACf8/9w=")</f>
        <v>#VALUE!</v>
      </c>
      <c r="HN2" t="e">
        <f>AND(Sheet1!#REF!,"AAAAACf8/90=")</f>
        <v>#REF!</v>
      </c>
      <c r="HO2" t="e">
        <f>AND(Sheet1!#REF!,"AAAAACf8/94=")</f>
        <v>#REF!</v>
      </c>
      <c r="HP2" t="e">
        <f>AND(Sheet1!O15,"AAAAACf8/98=")</f>
        <v>#VALUE!</v>
      </c>
      <c r="HQ2" t="e">
        <f>AND(Sheet1!Q15,"AAAAACf8/+A=")</f>
        <v>#VALUE!</v>
      </c>
      <c r="HR2" t="e">
        <f>AND(Sheet1!R15,"AAAAACf8/+E=")</f>
        <v>#VALUE!</v>
      </c>
      <c r="HS2" t="e">
        <f>AND(Sheet1!P15,"AAAAACf8/+I=")</f>
        <v>#VALUE!</v>
      </c>
      <c r="HT2" t="e">
        <f>AND(Sheet1!T15,"AAAAACf8/+M=")</f>
        <v>#VALUE!</v>
      </c>
      <c r="HU2" t="e">
        <f>AND(Sheet1!U15,"AAAAACf8/+Q=")</f>
        <v>#VALUE!</v>
      </c>
      <c r="HV2" t="e">
        <f>AND(Sheet1!V15,"AAAAACf8/+U=")</f>
        <v>#VALUE!</v>
      </c>
      <c r="HW2" t="e">
        <f>AND(Sheet1!W15,"AAAAACf8/+Y=")</f>
        <v>#VALUE!</v>
      </c>
      <c r="HX2" t="e">
        <f>AND(Sheet1!X15,"AAAAACf8/+c=")</f>
        <v>#VALUE!</v>
      </c>
      <c r="HY2" t="e">
        <f>AND(Sheet1!#REF!,"AAAAACf8/+g=")</f>
        <v>#REF!</v>
      </c>
      <c r="HZ2" t="e">
        <f>AND(Sheet1!#REF!,"AAAAACf8/+k=")</f>
        <v>#REF!</v>
      </c>
      <c r="IA2" t="e">
        <f>AND(Sheet1!Y15,"AAAAACf8/+o=")</f>
        <v>#VALUE!</v>
      </c>
      <c r="IB2" t="e">
        <f>AND(Sheet1!Z15,"AAAAACf8/+s=")</f>
        <v>#VALUE!</v>
      </c>
      <c r="IC2" t="e">
        <f>AND(Sheet1!AA15,"AAAAACf8/+w=")</f>
        <v>#VALUE!</v>
      </c>
      <c r="ID2" t="e">
        <f>AND(Sheet1!AB15,"AAAAACf8/+0=")</f>
        <v>#VALUE!</v>
      </c>
      <c r="IE2" t="e">
        <f>AND(Sheet1!AC15,"AAAAACf8/+4=")</f>
        <v>#VALUE!</v>
      </c>
      <c r="IF2">
        <f>IF(Sheet1!16:16,"AAAAACf8/+8=",0)</f>
        <v>0</v>
      </c>
      <c r="IG2" t="e">
        <f>AND(Sheet1!A16,"AAAAACf8//A=")</f>
        <v>#VALUE!</v>
      </c>
      <c r="IH2" t="e">
        <f>AND(Sheet1!B16,"AAAAACf8//E=")</f>
        <v>#VALUE!</v>
      </c>
      <c r="II2" t="e">
        <f>AND(Sheet1!C16,"AAAAACf8//I=")</f>
        <v>#VALUE!</v>
      </c>
      <c r="IJ2" t="e">
        <f>AND(Sheet1!D16,"AAAAACf8//M=")</f>
        <v>#VALUE!</v>
      </c>
      <c r="IK2" t="e">
        <f>AND(Sheet1!E16,"AAAAACf8//Q=")</f>
        <v>#VALUE!</v>
      </c>
      <c r="IL2" t="e">
        <f>AND(Sheet1!F16,"AAAAACf8//U=")</f>
        <v>#VALUE!</v>
      </c>
      <c r="IM2" t="e">
        <f>AND(Sheet1!G16,"AAAAACf8//Y=")</f>
        <v>#VALUE!</v>
      </c>
      <c r="IN2" t="e">
        <f>AND(Sheet1!H16,"AAAAACf8//c=")</f>
        <v>#VALUE!</v>
      </c>
      <c r="IO2" t="e">
        <f>AND(Sheet1!I16,"AAAAACf8//g=")</f>
        <v>#VALUE!</v>
      </c>
      <c r="IP2" t="e">
        <f>AND(Sheet1!J16,"AAAAACf8//k=")</f>
        <v>#VALUE!</v>
      </c>
      <c r="IQ2" t="e">
        <f>AND(Sheet1!K16,"AAAAACf8//o=")</f>
        <v>#VALUE!</v>
      </c>
      <c r="IR2" t="e">
        <f>AND(Sheet1!L16,"AAAAACf8//s=")</f>
        <v>#VALUE!</v>
      </c>
      <c r="IS2" t="e">
        <f>AND(Sheet1!M16,"AAAAACf8//w=")</f>
        <v>#VALUE!</v>
      </c>
      <c r="IT2" t="e">
        <f>AND(Sheet1!N16,"AAAAACf8//0=")</f>
        <v>#VALUE!</v>
      </c>
      <c r="IU2" t="e">
        <f>AND(Sheet1!#REF!,"AAAAACf8//4=")</f>
        <v>#REF!</v>
      </c>
      <c r="IV2" t="e">
        <f>AND(Sheet1!#REF!,"AAAAACf8//8=")</f>
        <v>#REF!</v>
      </c>
    </row>
    <row r="3" spans="1:256" x14ac:dyDescent="0.25">
      <c r="A3" t="e">
        <f>AND(Sheet1!O16,"AAAAAHf9ZwA=")</f>
        <v>#VALUE!</v>
      </c>
      <c r="B3" t="e">
        <f>AND(Sheet1!Q16,"AAAAAHf9ZwE=")</f>
        <v>#VALUE!</v>
      </c>
      <c r="C3" t="e">
        <f>AND(Sheet1!R16,"AAAAAHf9ZwI=")</f>
        <v>#VALUE!</v>
      </c>
      <c r="D3" t="e">
        <f>AND(Sheet1!P16,"AAAAAHf9ZwM=")</f>
        <v>#VALUE!</v>
      </c>
      <c r="E3" t="e">
        <f>AND(Sheet1!T16,"AAAAAHf9ZwQ=")</f>
        <v>#VALUE!</v>
      </c>
      <c r="F3" t="e">
        <f>AND(Sheet1!U16,"AAAAAHf9ZwU=")</f>
        <v>#VALUE!</v>
      </c>
      <c r="G3" t="e">
        <f>AND(Sheet1!V16,"AAAAAHf9ZwY=")</f>
        <v>#VALUE!</v>
      </c>
      <c r="H3" t="e">
        <f>AND(Sheet1!W16,"AAAAAHf9Zwc=")</f>
        <v>#VALUE!</v>
      </c>
      <c r="I3" t="e">
        <f>AND(Sheet1!X16,"AAAAAHf9Zwg=")</f>
        <v>#VALUE!</v>
      </c>
      <c r="J3" t="e">
        <f>AND(Sheet1!#REF!,"AAAAAHf9Zwk=")</f>
        <v>#REF!</v>
      </c>
      <c r="K3" t="e">
        <f>AND(Sheet1!#REF!,"AAAAAHf9Zwo=")</f>
        <v>#REF!</v>
      </c>
      <c r="L3" t="e">
        <f>AND(Sheet1!Y16,"AAAAAHf9Zws=")</f>
        <v>#VALUE!</v>
      </c>
      <c r="M3" t="e">
        <f>AND(Sheet1!Z16,"AAAAAHf9Zww=")</f>
        <v>#VALUE!</v>
      </c>
      <c r="N3" t="e">
        <f>AND(Sheet1!AA16,"AAAAAHf9Zw0=")</f>
        <v>#VALUE!</v>
      </c>
      <c r="O3" t="e">
        <f>AND(Sheet1!AB16,"AAAAAHf9Zw4=")</f>
        <v>#VALUE!</v>
      </c>
      <c r="P3" t="e">
        <f>AND(Sheet1!AC16,"AAAAAHf9Zw8=")</f>
        <v>#VALUE!</v>
      </c>
      <c r="Q3">
        <f>IF(Sheet1!17:17,"AAAAAHf9ZxA=",0)</f>
        <v>0</v>
      </c>
      <c r="R3" t="e">
        <f>AND(Sheet1!A17,"AAAAAHf9ZxE=")</f>
        <v>#VALUE!</v>
      </c>
      <c r="S3" t="e">
        <f>AND(Sheet1!B17,"AAAAAHf9ZxI=")</f>
        <v>#VALUE!</v>
      </c>
      <c r="T3" t="e">
        <f>AND(Sheet1!C17,"AAAAAHf9ZxM=")</f>
        <v>#VALUE!</v>
      </c>
      <c r="U3" t="e">
        <f>AND(Sheet1!D17,"AAAAAHf9ZxQ=")</f>
        <v>#VALUE!</v>
      </c>
      <c r="V3" t="e">
        <f>AND(Sheet1!E17,"AAAAAHf9ZxU=")</f>
        <v>#VALUE!</v>
      </c>
      <c r="W3" t="e">
        <f>AND(Sheet1!F17,"AAAAAHf9ZxY=")</f>
        <v>#VALUE!</v>
      </c>
      <c r="X3" t="e">
        <f>AND(Sheet1!G17,"AAAAAHf9Zxc=")</f>
        <v>#VALUE!</v>
      </c>
      <c r="Y3" t="e">
        <f>AND(Sheet1!H17,"AAAAAHf9Zxg=")</f>
        <v>#VALUE!</v>
      </c>
      <c r="Z3" t="e">
        <f>AND(Sheet1!I17,"AAAAAHf9Zxk=")</f>
        <v>#VALUE!</v>
      </c>
      <c r="AA3" t="e">
        <f>AND(Sheet1!J17,"AAAAAHf9Zxo=")</f>
        <v>#VALUE!</v>
      </c>
      <c r="AB3" t="e">
        <f>AND(Sheet1!K17,"AAAAAHf9Zxs=")</f>
        <v>#VALUE!</v>
      </c>
      <c r="AC3" t="e">
        <f>AND(Sheet1!L17,"AAAAAHf9Zxw=")</f>
        <v>#VALUE!</v>
      </c>
      <c r="AD3" t="e">
        <f>AND(Sheet1!M17,"AAAAAHf9Zx0=")</f>
        <v>#VALUE!</v>
      </c>
      <c r="AE3" t="e">
        <f>AND(Sheet1!N17,"AAAAAHf9Zx4=")</f>
        <v>#VALUE!</v>
      </c>
      <c r="AF3" t="e">
        <f>AND(Sheet1!#REF!,"AAAAAHf9Zx8=")</f>
        <v>#REF!</v>
      </c>
      <c r="AG3" t="e">
        <f>AND(Sheet1!#REF!,"AAAAAHf9ZyA=")</f>
        <v>#REF!</v>
      </c>
      <c r="AH3" t="e">
        <f>AND(Sheet1!O17,"AAAAAHf9ZyE=")</f>
        <v>#VALUE!</v>
      </c>
      <c r="AI3" t="e">
        <f>AND(Sheet1!Q17,"AAAAAHf9ZyI=")</f>
        <v>#VALUE!</v>
      </c>
      <c r="AJ3" t="e">
        <f>AND(Sheet1!R17,"AAAAAHf9ZyM=")</f>
        <v>#VALUE!</v>
      </c>
      <c r="AK3" t="e">
        <f>AND(Sheet1!S17,"AAAAAHf9ZyQ=")</f>
        <v>#VALUE!</v>
      </c>
      <c r="AL3" t="e">
        <f>AND(Sheet1!T17,"AAAAAHf9ZyU=")</f>
        <v>#VALUE!</v>
      </c>
      <c r="AM3" t="e">
        <f>AND(Sheet1!U17,"AAAAAHf9ZyY=")</f>
        <v>#VALUE!</v>
      </c>
      <c r="AN3" t="e">
        <f>AND(Sheet1!V17,"AAAAAHf9Zyc=")</f>
        <v>#VALUE!</v>
      </c>
      <c r="AO3" t="e">
        <f>AND(Sheet1!W17,"AAAAAHf9Zyg=")</f>
        <v>#VALUE!</v>
      </c>
      <c r="AP3" t="e">
        <f>AND(Sheet1!X17,"AAAAAHf9Zyk=")</f>
        <v>#VALUE!</v>
      </c>
      <c r="AQ3" t="e">
        <f>AND(Sheet1!#REF!,"AAAAAHf9Zyo=")</f>
        <v>#REF!</v>
      </c>
      <c r="AR3" t="e">
        <f>AND(Sheet1!#REF!,"AAAAAHf9Zys=")</f>
        <v>#REF!</v>
      </c>
      <c r="AS3" t="e">
        <f>AND(Sheet1!Y17,"AAAAAHf9Zyw=")</f>
        <v>#VALUE!</v>
      </c>
      <c r="AT3" t="e">
        <f>AND(Sheet1!Z17,"AAAAAHf9Zy0=")</f>
        <v>#VALUE!</v>
      </c>
      <c r="AU3" t="e">
        <f>AND(Sheet1!AA17,"AAAAAHf9Zy4=")</f>
        <v>#VALUE!</v>
      </c>
      <c r="AV3" t="e">
        <f>AND(Sheet1!AB17,"AAAAAHf9Zy8=")</f>
        <v>#VALUE!</v>
      </c>
      <c r="AW3" t="e">
        <f>AND(Sheet1!AC17,"AAAAAHf9ZzA=")</f>
        <v>#VALUE!</v>
      </c>
      <c r="AX3">
        <f>IF(Sheet1!18:18,"AAAAAHf9ZzE=",0)</f>
        <v>0</v>
      </c>
      <c r="AY3" t="e">
        <f>AND(Sheet1!A18,"AAAAAHf9ZzI=")</f>
        <v>#VALUE!</v>
      </c>
      <c r="AZ3" t="e">
        <f>AND(Sheet1!B18,"AAAAAHf9ZzM=")</f>
        <v>#VALUE!</v>
      </c>
      <c r="BA3" t="e">
        <f>AND(Sheet1!C18,"AAAAAHf9ZzQ=")</f>
        <v>#VALUE!</v>
      </c>
      <c r="BB3" t="e">
        <f>AND(Sheet1!D18,"AAAAAHf9ZzU=")</f>
        <v>#VALUE!</v>
      </c>
      <c r="BC3" t="e">
        <f>AND(Sheet1!E18,"AAAAAHf9ZzY=")</f>
        <v>#VALUE!</v>
      </c>
      <c r="BD3" t="e">
        <f>AND(Sheet1!F18,"AAAAAHf9Zzc=")</f>
        <v>#VALUE!</v>
      </c>
      <c r="BE3" t="e">
        <f>AND(Sheet1!G18,"AAAAAHf9Zzg=")</f>
        <v>#VALUE!</v>
      </c>
      <c r="BF3" t="e">
        <f>AND(Sheet1!H18,"AAAAAHf9Zzk=")</f>
        <v>#VALUE!</v>
      </c>
      <c r="BG3" t="e">
        <f>AND(Sheet1!I18,"AAAAAHf9Zzo=")</f>
        <v>#VALUE!</v>
      </c>
      <c r="BH3" t="e">
        <f>AND(Sheet1!J18,"AAAAAHf9Zzs=")</f>
        <v>#VALUE!</v>
      </c>
      <c r="BI3" t="e">
        <f>AND(Sheet1!K18,"AAAAAHf9Zzw=")</f>
        <v>#VALUE!</v>
      </c>
      <c r="BJ3" t="e">
        <f>AND(Sheet1!L18,"AAAAAHf9Zz0=")</f>
        <v>#VALUE!</v>
      </c>
      <c r="BK3" t="e">
        <f>AND(Sheet1!M18,"AAAAAHf9Zz4=")</f>
        <v>#VALUE!</v>
      </c>
      <c r="BL3" t="e">
        <f>AND(Sheet1!N18,"AAAAAHf9Zz8=")</f>
        <v>#VALUE!</v>
      </c>
      <c r="BM3" t="e">
        <f>AND(Sheet1!#REF!,"AAAAAHf9Z0A=")</f>
        <v>#REF!</v>
      </c>
      <c r="BN3" t="e">
        <f>AND(Sheet1!#REF!,"AAAAAHf9Z0E=")</f>
        <v>#REF!</v>
      </c>
      <c r="BO3" t="e">
        <f>AND(Sheet1!O18,"AAAAAHf9Z0I=")</f>
        <v>#VALUE!</v>
      </c>
      <c r="BP3" t="e">
        <f>AND(Sheet1!Q18,"AAAAAHf9Z0M=")</f>
        <v>#VALUE!</v>
      </c>
      <c r="BQ3" t="e">
        <f>AND(Sheet1!R18,"AAAAAHf9Z0Q=")</f>
        <v>#VALUE!</v>
      </c>
      <c r="BR3" t="e">
        <f>AND(Sheet1!S18,"AAAAAHf9Z0U=")</f>
        <v>#VALUE!</v>
      </c>
      <c r="BS3" t="e">
        <f>AND(Sheet1!T18,"AAAAAHf9Z0Y=")</f>
        <v>#VALUE!</v>
      </c>
      <c r="BT3" t="e">
        <f>AND(Sheet1!U18,"AAAAAHf9Z0c=")</f>
        <v>#VALUE!</v>
      </c>
      <c r="BU3" t="e">
        <f>AND(Sheet1!V18,"AAAAAHf9Z0g=")</f>
        <v>#VALUE!</v>
      </c>
      <c r="BV3" t="e">
        <f>AND(Sheet1!W18,"AAAAAHf9Z0k=")</f>
        <v>#VALUE!</v>
      </c>
      <c r="BW3" t="e">
        <f>AND(Sheet1!X18,"AAAAAHf9Z0o=")</f>
        <v>#VALUE!</v>
      </c>
      <c r="BX3" t="e">
        <f>AND(Sheet1!#REF!,"AAAAAHf9Z0s=")</f>
        <v>#REF!</v>
      </c>
      <c r="BY3" t="e">
        <f>AND(Sheet1!#REF!,"AAAAAHf9Z0w=")</f>
        <v>#REF!</v>
      </c>
      <c r="BZ3" t="e">
        <f>AND(Sheet1!Y18,"AAAAAHf9Z00=")</f>
        <v>#VALUE!</v>
      </c>
      <c r="CA3" t="e">
        <f>AND(Sheet1!Z18,"AAAAAHf9Z04=")</f>
        <v>#VALUE!</v>
      </c>
      <c r="CB3" t="e">
        <f>AND(Sheet1!AA18,"AAAAAHf9Z08=")</f>
        <v>#VALUE!</v>
      </c>
      <c r="CC3" t="e">
        <f>AND(Sheet1!AB18,"AAAAAHf9Z1A=")</f>
        <v>#VALUE!</v>
      </c>
      <c r="CD3" t="e">
        <f>AND(Sheet1!AC18,"AAAAAHf9Z1E=")</f>
        <v>#VALUE!</v>
      </c>
      <c r="CE3">
        <f>IF(Sheet1!19:19,"AAAAAHf9Z1I=",0)</f>
        <v>0</v>
      </c>
      <c r="CF3" t="e">
        <f>AND(Sheet1!A19,"AAAAAHf9Z1M=")</f>
        <v>#VALUE!</v>
      </c>
      <c r="CG3" t="e">
        <f>AND(Sheet1!B19,"AAAAAHf9Z1Q=")</f>
        <v>#VALUE!</v>
      </c>
      <c r="CH3" t="e">
        <f>AND(Sheet1!C19,"AAAAAHf9Z1U=")</f>
        <v>#VALUE!</v>
      </c>
      <c r="CI3" t="e">
        <f>AND(Sheet1!D19,"AAAAAHf9Z1Y=")</f>
        <v>#VALUE!</v>
      </c>
      <c r="CJ3" t="e">
        <f>AND(Sheet1!E19,"AAAAAHf9Z1c=")</f>
        <v>#VALUE!</v>
      </c>
      <c r="CK3" t="e">
        <f>AND(Sheet1!F19,"AAAAAHf9Z1g=")</f>
        <v>#VALUE!</v>
      </c>
      <c r="CL3" t="e">
        <f>AND(Sheet1!G19,"AAAAAHf9Z1k=")</f>
        <v>#VALUE!</v>
      </c>
      <c r="CM3" t="e">
        <f>AND(Sheet1!H19,"AAAAAHf9Z1o=")</f>
        <v>#VALUE!</v>
      </c>
      <c r="CN3" t="e">
        <f>AND(Sheet1!I19,"AAAAAHf9Z1s=")</f>
        <v>#VALUE!</v>
      </c>
      <c r="CO3" t="e">
        <f>AND(Sheet1!J19,"AAAAAHf9Z1w=")</f>
        <v>#VALUE!</v>
      </c>
      <c r="CP3" t="e">
        <f>AND(Sheet1!K19,"AAAAAHf9Z10=")</f>
        <v>#VALUE!</v>
      </c>
      <c r="CQ3" t="e">
        <f>AND(Sheet1!L19,"AAAAAHf9Z14=")</f>
        <v>#VALUE!</v>
      </c>
      <c r="CR3" t="e">
        <f>AND(Sheet1!M19,"AAAAAHf9Z18=")</f>
        <v>#VALUE!</v>
      </c>
      <c r="CS3" t="e">
        <f>AND(Sheet1!N19,"AAAAAHf9Z2A=")</f>
        <v>#VALUE!</v>
      </c>
      <c r="CT3" t="e">
        <f>AND(Sheet1!#REF!,"AAAAAHf9Z2E=")</f>
        <v>#REF!</v>
      </c>
      <c r="CU3" t="e">
        <f>AND(Sheet1!#REF!,"AAAAAHf9Z2I=")</f>
        <v>#REF!</v>
      </c>
      <c r="CV3" t="e">
        <f>AND(Sheet1!O19,"AAAAAHf9Z2M=")</f>
        <v>#VALUE!</v>
      </c>
      <c r="CW3" t="e">
        <f>AND(Sheet1!Q19,"AAAAAHf9Z2Q=")</f>
        <v>#VALUE!</v>
      </c>
      <c r="CX3" t="e">
        <f>AND(Sheet1!R19,"AAAAAHf9Z2U=")</f>
        <v>#VALUE!</v>
      </c>
      <c r="CY3" t="e">
        <f>AND(Sheet1!S19,"AAAAAHf9Z2Y=")</f>
        <v>#VALUE!</v>
      </c>
      <c r="CZ3" t="e">
        <f>AND(Sheet1!T19,"AAAAAHf9Z2c=")</f>
        <v>#VALUE!</v>
      </c>
      <c r="DA3" t="e">
        <f>AND(Sheet1!U19,"AAAAAHf9Z2g=")</f>
        <v>#VALUE!</v>
      </c>
      <c r="DB3" t="e">
        <f>AND(Sheet1!V19,"AAAAAHf9Z2k=")</f>
        <v>#VALUE!</v>
      </c>
      <c r="DC3" t="e">
        <f>AND(Sheet1!W19,"AAAAAHf9Z2o=")</f>
        <v>#VALUE!</v>
      </c>
      <c r="DD3" t="e">
        <f>AND(Sheet1!X19,"AAAAAHf9Z2s=")</f>
        <v>#VALUE!</v>
      </c>
      <c r="DE3" t="e">
        <f>AND(Sheet1!#REF!,"AAAAAHf9Z2w=")</f>
        <v>#REF!</v>
      </c>
      <c r="DF3" t="e">
        <f>AND(Sheet1!#REF!,"AAAAAHf9Z20=")</f>
        <v>#REF!</v>
      </c>
      <c r="DG3" t="e">
        <f>AND(Sheet1!Y19,"AAAAAHf9Z24=")</f>
        <v>#VALUE!</v>
      </c>
      <c r="DH3" t="e">
        <f>AND(Sheet1!Z19,"AAAAAHf9Z28=")</f>
        <v>#VALUE!</v>
      </c>
      <c r="DI3" t="e">
        <f>AND(Sheet1!AA19,"AAAAAHf9Z3A=")</f>
        <v>#VALUE!</v>
      </c>
      <c r="DJ3" t="e">
        <f>AND(Sheet1!AB19,"AAAAAHf9Z3E=")</f>
        <v>#VALUE!</v>
      </c>
      <c r="DK3" t="e">
        <f>AND(Sheet1!AC19,"AAAAAHf9Z3I=")</f>
        <v>#VALUE!</v>
      </c>
      <c r="DL3">
        <f>IF(Sheet1!20:20,"AAAAAHf9Z3M=",0)</f>
        <v>0</v>
      </c>
      <c r="DM3" t="e">
        <f>AND(Sheet1!A20,"AAAAAHf9Z3Q=")</f>
        <v>#VALUE!</v>
      </c>
      <c r="DN3" t="e">
        <f>AND(Sheet1!B20,"AAAAAHf9Z3U=")</f>
        <v>#VALUE!</v>
      </c>
      <c r="DO3" t="e">
        <f>AND(Sheet1!C20,"AAAAAHf9Z3Y=")</f>
        <v>#VALUE!</v>
      </c>
      <c r="DP3" t="e">
        <f>AND(Sheet1!D20,"AAAAAHf9Z3c=")</f>
        <v>#VALUE!</v>
      </c>
      <c r="DQ3" t="e">
        <f>AND(Sheet1!E20,"AAAAAHf9Z3g=")</f>
        <v>#VALUE!</v>
      </c>
      <c r="DR3" t="e">
        <f>AND(Sheet1!F20,"AAAAAHf9Z3k=")</f>
        <v>#VALUE!</v>
      </c>
      <c r="DS3" t="e">
        <f>AND(Sheet1!G20,"AAAAAHf9Z3o=")</f>
        <v>#VALUE!</v>
      </c>
      <c r="DT3" t="e">
        <f>AND(Sheet1!H20,"AAAAAHf9Z3s=")</f>
        <v>#VALUE!</v>
      </c>
      <c r="DU3" t="e">
        <f>AND(Sheet1!I20,"AAAAAHf9Z3w=")</f>
        <v>#VALUE!</v>
      </c>
      <c r="DV3" t="e">
        <f>AND(Sheet1!J20,"AAAAAHf9Z30=")</f>
        <v>#VALUE!</v>
      </c>
      <c r="DW3" t="e">
        <f>AND(Sheet1!K20,"AAAAAHf9Z34=")</f>
        <v>#VALUE!</v>
      </c>
      <c r="DX3" t="e">
        <f>AND(Sheet1!L20,"AAAAAHf9Z38=")</f>
        <v>#VALUE!</v>
      </c>
      <c r="DY3" t="e">
        <f>AND(Sheet1!M20,"AAAAAHf9Z4A=")</f>
        <v>#VALUE!</v>
      </c>
      <c r="DZ3" t="e">
        <f>AND(Sheet1!N20,"AAAAAHf9Z4E=")</f>
        <v>#VALUE!</v>
      </c>
      <c r="EA3" t="e">
        <f>AND(Sheet1!#REF!,"AAAAAHf9Z4I=")</f>
        <v>#REF!</v>
      </c>
      <c r="EB3" t="e">
        <f>AND(Sheet1!#REF!,"AAAAAHf9Z4M=")</f>
        <v>#REF!</v>
      </c>
      <c r="EC3" t="e">
        <f>AND(Sheet1!O20,"AAAAAHf9Z4Q=")</f>
        <v>#VALUE!</v>
      </c>
      <c r="ED3" t="e">
        <f>AND(Sheet1!Q20,"AAAAAHf9Z4U=")</f>
        <v>#VALUE!</v>
      </c>
      <c r="EE3" t="e">
        <f>AND(Sheet1!R20,"AAAAAHf9Z4Y=")</f>
        <v>#VALUE!</v>
      </c>
      <c r="EF3" t="e">
        <f>AND(Sheet1!S20,"AAAAAHf9Z4c=")</f>
        <v>#VALUE!</v>
      </c>
      <c r="EG3" t="e">
        <f>AND(Sheet1!T20,"AAAAAHf9Z4g=")</f>
        <v>#VALUE!</v>
      </c>
      <c r="EH3" t="e">
        <f>AND(Sheet1!U20,"AAAAAHf9Z4k=")</f>
        <v>#VALUE!</v>
      </c>
      <c r="EI3" t="e">
        <f>AND(Sheet1!V20,"AAAAAHf9Z4o=")</f>
        <v>#VALUE!</v>
      </c>
      <c r="EJ3" t="e">
        <f>AND(Sheet1!W20,"AAAAAHf9Z4s=")</f>
        <v>#VALUE!</v>
      </c>
      <c r="EK3" t="e">
        <f>AND(Sheet1!X20,"AAAAAHf9Z4w=")</f>
        <v>#VALUE!</v>
      </c>
      <c r="EL3" t="e">
        <f>AND(Sheet1!#REF!,"AAAAAHf9Z40=")</f>
        <v>#REF!</v>
      </c>
      <c r="EM3" t="e">
        <f>AND(Sheet1!#REF!,"AAAAAHf9Z44=")</f>
        <v>#REF!</v>
      </c>
      <c r="EN3" t="e">
        <f>AND(Sheet1!Y20,"AAAAAHf9Z48=")</f>
        <v>#VALUE!</v>
      </c>
      <c r="EO3" t="e">
        <f>AND(Sheet1!Z20,"AAAAAHf9Z5A=")</f>
        <v>#VALUE!</v>
      </c>
      <c r="EP3" t="e">
        <f>AND(Sheet1!AA20,"AAAAAHf9Z5E=")</f>
        <v>#VALUE!</v>
      </c>
      <c r="EQ3" t="e">
        <f>AND(Sheet1!AB20,"AAAAAHf9Z5I=")</f>
        <v>#VALUE!</v>
      </c>
      <c r="ER3" t="e">
        <f>AND(Sheet1!AC20,"AAAAAHf9Z5M=")</f>
        <v>#VALUE!</v>
      </c>
      <c r="ES3">
        <f>IF(Sheet1!21:21,"AAAAAHf9Z5Q=",0)</f>
        <v>0</v>
      </c>
      <c r="ET3" t="e">
        <f>AND(Sheet1!A21,"AAAAAHf9Z5U=")</f>
        <v>#VALUE!</v>
      </c>
      <c r="EU3" t="e">
        <f>AND(Sheet1!B21,"AAAAAHf9Z5Y=")</f>
        <v>#VALUE!</v>
      </c>
      <c r="EV3" t="e">
        <f>AND(Sheet1!C21,"AAAAAHf9Z5c=")</f>
        <v>#VALUE!</v>
      </c>
      <c r="EW3" t="e">
        <f>AND(Sheet1!D21,"AAAAAHf9Z5g=")</f>
        <v>#VALUE!</v>
      </c>
      <c r="EX3" t="e">
        <f>AND(Sheet1!E21,"AAAAAHf9Z5k=")</f>
        <v>#VALUE!</v>
      </c>
      <c r="EY3" t="e">
        <f>AND(Sheet1!F21,"AAAAAHf9Z5o=")</f>
        <v>#VALUE!</v>
      </c>
      <c r="EZ3" t="e">
        <f>AND(Sheet1!G21,"AAAAAHf9Z5s=")</f>
        <v>#VALUE!</v>
      </c>
      <c r="FA3" t="e">
        <f>AND(Sheet1!H21,"AAAAAHf9Z5w=")</f>
        <v>#VALUE!</v>
      </c>
      <c r="FB3" t="e">
        <f>AND(Sheet1!I21,"AAAAAHf9Z50=")</f>
        <v>#VALUE!</v>
      </c>
      <c r="FC3" t="e">
        <f>AND(Sheet1!J21,"AAAAAHf9Z54=")</f>
        <v>#VALUE!</v>
      </c>
      <c r="FD3" t="e">
        <f>AND(Sheet1!K21,"AAAAAHf9Z58=")</f>
        <v>#VALUE!</v>
      </c>
      <c r="FE3" t="e">
        <f>AND(Sheet1!L21,"AAAAAHf9Z6A=")</f>
        <v>#VALUE!</v>
      </c>
      <c r="FF3" t="e">
        <f>AND(Sheet1!M21,"AAAAAHf9Z6E=")</f>
        <v>#VALUE!</v>
      </c>
      <c r="FG3" t="e">
        <f>AND(Sheet1!N21,"AAAAAHf9Z6I=")</f>
        <v>#VALUE!</v>
      </c>
      <c r="FH3" t="e">
        <f>AND(Sheet1!#REF!,"AAAAAHf9Z6M=")</f>
        <v>#REF!</v>
      </c>
      <c r="FI3" t="e">
        <f>AND(Sheet1!#REF!,"AAAAAHf9Z6Q=")</f>
        <v>#REF!</v>
      </c>
      <c r="FJ3" t="e">
        <f>AND(Sheet1!O21,"AAAAAHf9Z6U=")</f>
        <v>#VALUE!</v>
      </c>
      <c r="FK3" t="e">
        <f>AND(Sheet1!Q21,"AAAAAHf9Z6Y=")</f>
        <v>#VALUE!</v>
      </c>
      <c r="FL3" t="e">
        <f>AND(Sheet1!R21,"AAAAAHf9Z6c=")</f>
        <v>#VALUE!</v>
      </c>
      <c r="FM3" t="e">
        <f>AND(Sheet1!S21,"AAAAAHf9Z6g=")</f>
        <v>#VALUE!</v>
      </c>
      <c r="FN3" t="e">
        <f>AND(Sheet1!T21,"AAAAAHf9Z6k=")</f>
        <v>#VALUE!</v>
      </c>
      <c r="FO3" t="e">
        <f>AND(Sheet1!U21,"AAAAAHf9Z6o=")</f>
        <v>#VALUE!</v>
      </c>
      <c r="FP3" t="e">
        <f>AND(Sheet1!V21,"AAAAAHf9Z6s=")</f>
        <v>#VALUE!</v>
      </c>
      <c r="FQ3" t="e">
        <f>AND(Sheet1!W21,"AAAAAHf9Z6w=")</f>
        <v>#VALUE!</v>
      </c>
      <c r="FR3" t="e">
        <f>AND(Sheet1!X21,"AAAAAHf9Z60=")</f>
        <v>#VALUE!</v>
      </c>
      <c r="FS3" t="e">
        <f>AND(Sheet1!#REF!,"AAAAAHf9Z64=")</f>
        <v>#REF!</v>
      </c>
      <c r="FT3" t="e">
        <f>AND(Sheet1!#REF!,"AAAAAHf9Z68=")</f>
        <v>#REF!</v>
      </c>
      <c r="FU3" t="e">
        <f>AND(Sheet1!Y21,"AAAAAHf9Z7A=")</f>
        <v>#VALUE!</v>
      </c>
      <c r="FV3" t="e">
        <f>AND(Sheet1!Z21,"AAAAAHf9Z7E=")</f>
        <v>#VALUE!</v>
      </c>
      <c r="FW3" t="e">
        <f>AND(Sheet1!AA21,"AAAAAHf9Z7I=")</f>
        <v>#VALUE!</v>
      </c>
      <c r="FX3" t="e">
        <f>AND(Sheet1!AB21,"AAAAAHf9Z7M=")</f>
        <v>#VALUE!</v>
      </c>
      <c r="FY3" t="e">
        <f>AND(Sheet1!AC21,"AAAAAHf9Z7Q=")</f>
        <v>#VALUE!</v>
      </c>
      <c r="FZ3">
        <f>IF(Sheet1!22:22,"AAAAAHf9Z7U=",0)</f>
        <v>0</v>
      </c>
      <c r="GA3" t="e">
        <f>AND(Sheet1!A22,"AAAAAHf9Z7Y=")</f>
        <v>#VALUE!</v>
      </c>
      <c r="GB3" t="e">
        <f>AND(Sheet1!B22,"AAAAAHf9Z7c=")</f>
        <v>#VALUE!</v>
      </c>
      <c r="GC3" t="e">
        <f>AND(Sheet1!C22,"AAAAAHf9Z7g=")</f>
        <v>#VALUE!</v>
      </c>
      <c r="GD3" t="e">
        <f>AND(Sheet1!D22,"AAAAAHf9Z7k=")</f>
        <v>#VALUE!</v>
      </c>
      <c r="GE3" t="e">
        <f>AND(Sheet1!E22,"AAAAAHf9Z7o=")</f>
        <v>#VALUE!</v>
      </c>
      <c r="GF3" t="e">
        <f>AND(Sheet1!F22,"AAAAAHf9Z7s=")</f>
        <v>#VALUE!</v>
      </c>
      <c r="GG3" t="e">
        <f>AND(Sheet1!G22,"AAAAAHf9Z7w=")</f>
        <v>#VALUE!</v>
      </c>
      <c r="GH3" t="e">
        <f>AND(Sheet1!H22,"AAAAAHf9Z70=")</f>
        <v>#VALUE!</v>
      </c>
      <c r="GI3" t="e">
        <f>AND(Sheet1!I22,"AAAAAHf9Z74=")</f>
        <v>#VALUE!</v>
      </c>
      <c r="GJ3" t="e">
        <f>AND(Sheet1!J22,"AAAAAHf9Z78=")</f>
        <v>#VALUE!</v>
      </c>
      <c r="GK3" t="e">
        <f>AND(Sheet1!K22,"AAAAAHf9Z8A=")</f>
        <v>#VALUE!</v>
      </c>
      <c r="GL3" t="e">
        <f>AND(Sheet1!L22,"AAAAAHf9Z8E=")</f>
        <v>#VALUE!</v>
      </c>
      <c r="GM3" t="e">
        <f>AND(Sheet1!M22,"AAAAAHf9Z8I=")</f>
        <v>#VALUE!</v>
      </c>
      <c r="GN3" t="e">
        <f>AND(Sheet1!N22,"AAAAAHf9Z8M=")</f>
        <v>#VALUE!</v>
      </c>
      <c r="GO3" t="e">
        <f>AND(Sheet1!#REF!,"AAAAAHf9Z8Q=")</f>
        <v>#REF!</v>
      </c>
      <c r="GP3" t="e">
        <f>AND(Sheet1!#REF!,"AAAAAHf9Z8U=")</f>
        <v>#REF!</v>
      </c>
      <c r="GQ3" t="e">
        <f>AND(Sheet1!O22,"AAAAAHf9Z8Y=")</f>
        <v>#VALUE!</v>
      </c>
      <c r="GR3" t="e">
        <f>AND(Sheet1!Q22,"AAAAAHf9Z8c=")</f>
        <v>#VALUE!</v>
      </c>
      <c r="GS3" t="e">
        <f>AND(Sheet1!R22,"AAAAAHf9Z8g=")</f>
        <v>#VALUE!</v>
      </c>
      <c r="GT3" t="e">
        <f>AND(Sheet1!S22,"AAAAAHf9Z8k=")</f>
        <v>#VALUE!</v>
      </c>
      <c r="GU3" t="e">
        <f>AND(Sheet1!T22,"AAAAAHf9Z8o=")</f>
        <v>#VALUE!</v>
      </c>
      <c r="GV3" t="e">
        <f>AND(Sheet1!U22,"AAAAAHf9Z8s=")</f>
        <v>#VALUE!</v>
      </c>
      <c r="GW3" t="e">
        <f>AND(Sheet1!V22,"AAAAAHf9Z8w=")</f>
        <v>#VALUE!</v>
      </c>
      <c r="GX3" t="e">
        <f>AND(Sheet1!W22,"AAAAAHf9Z80=")</f>
        <v>#VALUE!</v>
      </c>
      <c r="GY3" t="e">
        <f>AND(Sheet1!X22,"AAAAAHf9Z84=")</f>
        <v>#VALUE!</v>
      </c>
      <c r="GZ3" t="e">
        <f>AND(Sheet1!#REF!,"AAAAAHf9Z88=")</f>
        <v>#REF!</v>
      </c>
      <c r="HA3" t="e">
        <f>AND(Sheet1!#REF!,"AAAAAHf9Z9A=")</f>
        <v>#REF!</v>
      </c>
      <c r="HB3" t="e">
        <f>AND(Sheet1!Y22,"AAAAAHf9Z9E=")</f>
        <v>#VALUE!</v>
      </c>
      <c r="HC3" t="e">
        <f>AND(Sheet1!Z22,"AAAAAHf9Z9I=")</f>
        <v>#VALUE!</v>
      </c>
      <c r="HD3" t="e">
        <f>AND(Sheet1!AA22,"AAAAAHf9Z9M=")</f>
        <v>#VALUE!</v>
      </c>
      <c r="HE3" t="e">
        <f>AND(Sheet1!AB22,"AAAAAHf9Z9Q=")</f>
        <v>#VALUE!</v>
      </c>
      <c r="HF3" t="e">
        <f>AND(Sheet1!AC22,"AAAAAHf9Z9U=")</f>
        <v>#VALUE!</v>
      </c>
      <c r="HG3">
        <f>IF(Sheet1!23:23,"AAAAAHf9Z9Y=",0)</f>
        <v>0</v>
      </c>
      <c r="HH3" t="e">
        <f>AND(Sheet1!A23,"AAAAAHf9Z9c=")</f>
        <v>#VALUE!</v>
      </c>
      <c r="HI3" t="e">
        <f>AND(Sheet1!B23,"AAAAAHf9Z9g=")</f>
        <v>#VALUE!</v>
      </c>
      <c r="HJ3" t="e">
        <f>AND(Sheet1!C23,"AAAAAHf9Z9k=")</f>
        <v>#VALUE!</v>
      </c>
      <c r="HK3" t="e">
        <f>AND(Sheet1!D23,"AAAAAHf9Z9o=")</f>
        <v>#VALUE!</v>
      </c>
      <c r="HL3" t="e">
        <f>AND(Sheet1!E23,"AAAAAHf9Z9s=")</f>
        <v>#VALUE!</v>
      </c>
      <c r="HM3" t="e">
        <f>AND(Sheet1!F23,"AAAAAHf9Z9w=")</f>
        <v>#VALUE!</v>
      </c>
      <c r="HN3" t="e">
        <f>AND(Sheet1!G23,"AAAAAHf9Z90=")</f>
        <v>#VALUE!</v>
      </c>
      <c r="HO3" t="e">
        <f>AND(Sheet1!H23,"AAAAAHf9Z94=")</f>
        <v>#VALUE!</v>
      </c>
      <c r="HP3" t="e">
        <f>AND(Sheet1!I23,"AAAAAHf9Z98=")</f>
        <v>#VALUE!</v>
      </c>
      <c r="HQ3" t="e">
        <f>AND(Sheet1!J23,"AAAAAHf9Z+A=")</f>
        <v>#VALUE!</v>
      </c>
      <c r="HR3" t="e">
        <f>AND(Sheet1!K23,"AAAAAHf9Z+E=")</f>
        <v>#VALUE!</v>
      </c>
      <c r="HS3" t="e">
        <f>AND(Sheet1!L23,"AAAAAHf9Z+I=")</f>
        <v>#VALUE!</v>
      </c>
      <c r="HT3" t="e">
        <f>AND(Sheet1!M23,"AAAAAHf9Z+M=")</f>
        <v>#VALUE!</v>
      </c>
      <c r="HU3" t="e">
        <f>AND(Sheet1!N23,"AAAAAHf9Z+Q=")</f>
        <v>#VALUE!</v>
      </c>
      <c r="HV3" t="e">
        <f>AND(Sheet1!#REF!,"AAAAAHf9Z+U=")</f>
        <v>#REF!</v>
      </c>
      <c r="HW3" t="e">
        <f>AND(Sheet1!#REF!,"AAAAAHf9Z+Y=")</f>
        <v>#REF!</v>
      </c>
      <c r="HX3" t="e">
        <f>AND(Sheet1!O23,"AAAAAHf9Z+c=")</f>
        <v>#VALUE!</v>
      </c>
      <c r="HY3" t="e">
        <f>AND(Sheet1!Q23,"AAAAAHf9Z+g=")</f>
        <v>#VALUE!</v>
      </c>
      <c r="HZ3" t="e">
        <f>AND(Sheet1!R23,"AAAAAHf9Z+k=")</f>
        <v>#VALUE!</v>
      </c>
      <c r="IA3" t="e">
        <f>AND(Sheet1!S23,"AAAAAHf9Z+o=")</f>
        <v>#VALUE!</v>
      </c>
      <c r="IB3" t="e">
        <f>AND(Sheet1!T23,"AAAAAHf9Z+s=")</f>
        <v>#VALUE!</v>
      </c>
      <c r="IC3" t="e">
        <f>AND(Sheet1!U23,"AAAAAHf9Z+w=")</f>
        <v>#VALUE!</v>
      </c>
      <c r="ID3" t="e">
        <f>AND(Sheet1!V23,"AAAAAHf9Z+0=")</f>
        <v>#VALUE!</v>
      </c>
      <c r="IE3" t="e">
        <f>AND(Sheet1!W23,"AAAAAHf9Z+4=")</f>
        <v>#VALUE!</v>
      </c>
      <c r="IF3" t="e">
        <f>AND(Sheet1!X23,"AAAAAHf9Z+8=")</f>
        <v>#VALUE!</v>
      </c>
      <c r="IG3" t="e">
        <f>AND(Sheet1!#REF!,"AAAAAHf9Z/A=")</f>
        <v>#REF!</v>
      </c>
      <c r="IH3" t="e">
        <f>AND(Sheet1!#REF!,"AAAAAHf9Z/E=")</f>
        <v>#REF!</v>
      </c>
      <c r="II3" t="e">
        <f>AND(Sheet1!Y23,"AAAAAHf9Z/I=")</f>
        <v>#VALUE!</v>
      </c>
      <c r="IJ3" t="e">
        <f>AND(Sheet1!Z23,"AAAAAHf9Z/M=")</f>
        <v>#VALUE!</v>
      </c>
      <c r="IK3" t="e">
        <f>AND(Sheet1!AA23,"AAAAAHf9Z/Q=")</f>
        <v>#VALUE!</v>
      </c>
      <c r="IL3" t="e">
        <f>AND(Sheet1!AB23,"AAAAAHf9Z/U=")</f>
        <v>#VALUE!</v>
      </c>
      <c r="IM3" t="e">
        <f>AND(Sheet1!AC23,"AAAAAHf9Z/Y=")</f>
        <v>#VALUE!</v>
      </c>
      <c r="IN3">
        <f>IF(Sheet1!24:24,"AAAAAHf9Z/c=",0)</f>
        <v>0</v>
      </c>
      <c r="IO3" t="e">
        <f>AND(Sheet1!A24,"AAAAAHf9Z/g=")</f>
        <v>#VALUE!</v>
      </c>
      <c r="IP3" t="e">
        <f>AND(Sheet1!B24,"AAAAAHf9Z/k=")</f>
        <v>#VALUE!</v>
      </c>
      <c r="IQ3" t="e">
        <f>AND(Sheet1!C24,"AAAAAHf9Z/o=")</f>
        <v>#VALUE!</v>
      </c>
      <c r="IR3" t="e">
        <f>AND(Sheet1!D24,"AAAAAHf9Z/s=")</f>
        <v>#VALUE!</v>
      </c>
      <c r="IS3" t="e">
        <f>AND(Sheet1!E24,"AAAAAHf9Z/w=")</f>
        <v>#VALUE!</v>
      </c>
      <c r="IT3" t="e">
        <f>AND(Sheet1!F24,"AAAAAHf9Z/0=")</f>
        <v>#VALUE!</v>
      </c>
      <c r="IU3" t="e">
        <f>AND(Sheet1!G24,"AAAAAHf9Z/4=")</f>
        <v>#VALUE!</v>
      </c>
      <c r="IV3" t="e">
        <f>AND(Sheet1!H24,"AAAAAHf9Z/8=")</f>
        <v>#VALUE!</v>
      </c>
    </row>
    <row r="4" spans="1:256" x14ac:dyDescent="0.25">
      <c r="A4" t="e">
        <f>AND(Sheet1!I24,"AAAAACPL5gA=")</f>
        <v>#VALUE!</v>
      </c>
      <c r="B4" t="e">
        <f>AND(Sheet1!J24,"AAAAACPL5gE=")</f>
        <v>#VALUE!</v>
      </c>
      <c r="C4" t="e">
        <f>AND(Sheet1!K24,"AAAAACPL5gI=")</f>
        <v>#VALUE!</v>
      </c>
      <c r="D4" t="e">
        <f>AND(Sheet1!L24,"AAAAACPL5gM=")</f>
        <v>#VALUE!</v>
      </c>
      <c r="E4" t="e">
        <f>AND(Sheet1!M24,"AAAAACPL5gQ=")</f>
        <v>#VALUE!</v>
      </c>
      <c r="F4" t="e">
        <f>AND(Sheet1!N24,"AAAAACPL5gU=")</f>
        <v>#VALUE!</v>
      </c>
      <c r="G4" t="e">
        <f>AND(Sheet1!#REF!,"AAAAACPL5gY=")</f>
        <v>#REF!</v>
      </c>
      <c r="H4" t="e">
        <f>AND(Sheet1!#REF!,"AAAAACPL5gc=")</f>
        <v>#REF!</v>
      </c>
      <c r="I4" t="e">
        <f>AND(Sheet1!O24,"AAAAACPL5gg=")</f>
        <v>#VALUE!</v>
      </c>
      <c r="J4" t="e">
        <f>AND(Sheet1!Q24,"AAAAACPL5gk=")</f>
        <v>#VALUE!</v>
      </c>
      <c r="K4" t="e">
        <f>AND(Sheet1!R24,"AAAAACPL5go=")</f>
        <v>#VALUE!</v>
      </c>
      <c r="L4" t="e">
        <f>AND(Sheet1!S24,"AAAAACPL5gs=")</f>
        <v>#VALUE!</v>
      </c>
      <c r="M4" t="e">
        <f>AND(Sheet1!T24,"AAAAACPL5gw=")</f>
        <v>#VALUE!</v>
      </c>
      <c r="N4" t="e">
        <f>AND(Sheet1!U24,"AAAAACPL5g0=")</f>
        <v>#VALUE!</v>
      </c>
      <c r="O4" t="e">
        <f>AND(Sheet1!V24,"AAAAACPL5g4=")</f>
        <v>#VALUE!</v>
      </c>
      <c r="P4" t="e">
        <f>AND(Sheet1!W24,"AAAAACPL5g8=")</f>
        <v>#VALUE!</v>
      </c>
      <c r="Q4" t="e">
        <f>AND(Sheet1!X24,"AAAAACPL5hA=")</f>
        <v>#VALUE!</v>
      </c>
      <c r="R4" t="e">
        <f>AND(Sheet1!#REF!,"AAAAACPL5hE=")</f>
        <v>#REF!</v>
      </c>
      <c r="S4" t="e">
        <f>AND(Sheet1!#REF!,"AAAAACPL5hI=")</f>
        <v>#REF!</v>
      </c>
      <c r="T4" t="e">
        <f>AND(Sheet1!Y24,"AAAAACPL5hM=")</f>
        <v>#VALUE!</v>
      </c>
      <c r="U4" t="e">
        <f>AND(Sheet1!Z24,"AAAAACPL5hQ=")</f>
        <v>#VALUE!</v>
      </c>
      <c r="V4" t="e">
        <f>AND(Sheet1!AA24,"AAAAACPL5hU=")</f>
        <v>#VALUE!</v>
      </c>
      <c r="W4" t="e">
        <f>AND(Sheet1!AB24,"AAAAACPL5hY=")</f>
        <v>#VALUE!</v>
      </c>
      <c r="X4" t="e">
        <f>AND(Sheet1!AC24,"AAAAACPL5hc=")</f>
        <v>#VALUE!</v>
      </c>
      <c r="Y4">
        <f>IF(Sheet1!30:30,"AAAAACPL5hg=",0)</f>
        <v>0</v>
      </c>
      <c r="Z4" t="e">
        <f>AND(Sheet1!A30,"AAAAACPL5hk=")</f>
        <v>#VALUE!</v>
      </c>
      <c r="AA4" t="e">
        <f>AND(Sheet1!B30,"AAAAACPL5ho=")</f>
        <v>#VALUE!</v>
      </c>
      <c r="AB4" t="e">
        <f>AND(Sheet1!C30,"AAAAACPL5hs=")</f>
        <v>#VALUE!</v>
      </c>
      <c r="AC4" t="e">
        <f>AND(Sheet1!D30,"AAAAACPL5hw=")</f>
        <v>#VALUE!</v>
      </c>
      <c r="AD4" t="e">
        <f>AND(Sheet1!E30,"AAAAACPL5h0=")</f>
        <v>#VALUE!</v>
      </c>
      <c r="AE4" t="e">
        <f>AND(Sheet1!F30,"AAAAACPL5h4=")</f>
        <v>#VALUE!</v>
      </c>
      <c r="AF4" t="e">
        <f>AND(Sheet1!G30,"AAAAACPL5h8=")</f>
        <v>#VALUE!</v>
      </c>
      <c r="AG4" t="e">
        <f>AND(Sheet1!H30,"AAAAACPL5iA=")</f>
        <v>#VALUE!</v>
      </c>
      <c r="AH4" t="e">
        <f>AND(Sheet1!I30,"AAAAACPL5iE=")</f>
        <v>#VALUE!</v>
      </c>
      <c r="AI4" t="e">
        <f>AND(Sheet1!J30,"AAAAACPL5iI=")</f>
        <v>#VALUE!</v>
      </c>
      <c r="AJ4" t="e">
        <f>AND(Sheet1!K30,"AAAAACPL5iM=")</f>
        <v>#VALUE!</v>
      </c>
      <c r="AK4" t="e">
        <f>AND(Sheet1!L30,"AAAAACPL5iQ=")</f>
        <v>#VALUE!</v>
      </c>
      <c r="AL4" t="e">
        <f>AND(Sheet1!M30,"AAAAACPL5iU=")</f>
        <v>#VALUE!</v>
      </c>
      <c r="AM4" t="e">
        <f>AND(Sheet1!N30,"AAAAACPL5iY=")</f>
        <v>#VALUE!</v>
      </c>
      <c r="AN4" t="e">
        <f>AND(Sheet1!#REF!,"AAAAACPL5ic=")</f>
        <v>#REF!</v>
      </c>
      <c r="AO4" t="e">
        <f>AND(Sheet1!#REF!,"AAAAACPL5ig=")</f>
        <v>#REF!</v>
      </c>
      <c r="AP4" t="e">
        <f>AND(Sheet1!O30,"AAAAACPL5ik=")</f>
        <v>#VALUE!</v>
      </c>
      <c r="AQ4" t="e">
        <f>AND(Sheet1!Q30,"AAAAACPL5io=")</f>
        <v>#VALUE!</v>
      </c>
      <c r="AR4" t="e">
        <f>AND(Sheet1!R30,"AAAAACPL5is=")</f>
        <v>#VALUE!</v>
      </c>
      <c r="AS4" t="e">
        <f>AND(Sheet1!S30,"AAAAACPL5iw=")</f>
        <v>#VALUE!</v>
      </c>
      <c r="AT4" t="e">
        <f>AND(Sheet1!T30,"AAAAACPL5i0=")</f>
        <v>#VALUE!</v>
      </c>
      <c r="AU4" t="e">
        <f>AND(Sheet1!U30,"AAAAACPL5i4=")</f>
        <v>#VALUE!</v>
      </c>
      <c r="AV4" t="e">
        <f>AND(Sheet1!V30,"AAAAACPL5i8=")</f>
        <v>#VALUE!</v>
      </c>
      <c r="AW4" t="e">
        <f>AND(Sheet1!W30,"AAAAACPL5jA=")</f>
        <v>#VALUE!</v>
      </c>
      <c r="AX4" t="e">
        <f>AND(Sheet1!X30,"AAAAACPL5jE=")</f>
        <v>#VALUE!</v>
      </c>
      <c r="AY4" t="e">
        <f>AND(Sheet1!#REF!,"AAAAACPL5jI=")</f>
        <v>#REF!</v>
      </c>
      <c r="AZ4" t="e">
        <f>AND(Sheet1!#REF!,"AAAAACPL5jM=")</f>
        <v>#REF!</v>
      </c>
      <c r="BA4" t="e">
        <f>AND(Sheet1!Y30,"AAAAACPL5jQ=")</f>
        <v>#VALUE!</v>
      </c>
      <c r="BB4" t="e">
        <f>AND(Sheet1!Z30,"AAAAACPL5jU=")</f>
        <v>#VALUE!</v>
      </c>
      <c r="BC4" t="e">
        <f>AND(Sheet1!AA30,"AAAAACPL5jY=")</f>
        <v>#VALUE!</v>
      </c>
      <c r="BD4" t="e">
        <f>AND(Sheet1!AB30,"AAAAACPL5jc=")</f>
        <v>#VALUE!</v>
      </c>
      <c r="BE4" t="e">
        <f>AND(Sheet1!AC30,"AAAAACPL5jg=")</f>
        <v>#VALUE!</v>
      </c>
      <c r="BF4">
        <f>IF(Sheet1!31:31,"AAAAACPL5jk=",0)</f>
        <v>0</v>
      </c>
      <c r="BG4" t="e">
        <f>AND(Sheet1!A31,"AAAAACPL5jo=")</f>
        <v>#VALUE!</v>
      </c>
      <c r="BH4" t="e">
        <f>AND(Sheet1!B31,"AAAAACPL5js=")</f>
        <v>#VALUE!</v>
      </c>
      <c r="BI4" t="e">
        <f>AND(Sheet1!C31,"AAAAACPL5jw=")</f>
        <v>#VALUE!</v>
      </c>
      <c r="BJ4" t="e">
        <f>AND(Sheet1!D31,"AAAAACPL5j0=")</f>
        <v>#VALUE!</v>
      </c>
      <c r="BK4" t="e">
        <f>AND(Sheet1!E31,"AAAAACPL5j4=")</f>
        <v>#VALUE!</v>
      </c>
      <c r="BL4" t="e">
        <f>AND(Sheet1!F31,"AAAAACPL5j8=")</f>
        <v>#VALUE!</v>
      </c>
      <c r="BM4" t="e">
        <f>AND(Sheet1!G31,"AAAAACPL5kA=")</f>
        <v>#VALUE!</v>
      </c>
      <c r="BN4" t="e">
        <f>AND(Sheet1!H31,"AAAAACPL5kE=")</f>
        <v>#VALUE!</v>
      </c>
      <c r="BO4" t="e">
        <f>AND(Sheet1!I31,"AAAAACPL5kI=")</f>
        <v>#VALUE!</v>
      </c>
      <c r="BP4" t="e">
        <f>AND(Sheet1!J31,"AAAAACPL5kM=")</f>
        <v>#VALUE!</v>
      </c>
      <c r="BQ4" t="e">
        <f>AND(Sheet1!K31,"AAAAACPL5kQ=")</f>
        <v>#VALUE!</v>
      </c>
      <c r="BR4" t="e">
        <f>AND(Sheet1!L31,"AAAAACPL5kU=")</f>
        <v>#VALUE!</v>
      </c>
      <c r="BS4" t="e">
        <f>AND(Sheet1!M31,"AAAAACPL5kY=")</f>
        <v>#VALUE!</v>
      </c>
      <c r="BT4" t="e">
        <f>AND(Sheet1!N31,"AAAAACPL5kc=")</f>
        <v>#VALUE!</v>
      </c>
      <c r="BU4" t="e">
        <f>AND(Sheet1!#REF!,"AAAAACPL5kg=")</f>
        <v>#REF!</v>
      </c>
      <c r="BV4" t="e">
        <f>AND(Sheet1!#REF!,"AAAAACPL5kk=")</f>
        <v>#REF!</v>
      </c>
      <c r="BW4" t="e">
        <f>AND(Sheet1!O31,"AAAAACPL5ko=")</f>
        <v>#VALUE!</v>
      </c>
      <c r="BX4" t="e">
        <f>AND(Sheet1!Q31,"AAAAACPL5ks=")</f>
        <v>#VALUE!</v>
      </c>
      <c r="BY4" t="e">
        <f>AND(Sheet1!R31,"AAAAACPL5kw=")</f>
        <v>#VALUE!</v>
      </c>
      <c r="BZ4" t="e">
        <f>AND(Sheet1!S31,"AAAAACPL5k0=")</f>
        <v>#VALUE!</v>
      </c>
      <c r="CA4" t="e">
        <f>AND(Sheet1!T31,"AAAAACPL5k4=")</f>
        <v>#VALUE!</v>
      </c>
      <c r="CB4" t="e">
        <f>AND(Sheet1!U31,"AAAAACPL5k8=")</f>
        <v>#VALUE!</v>
      </c>
      <c r="CC4" t="e">
        <f>AND(Sheet1!V31,"AAAAACPL5lA=")</f>
        <v>#VALUE!</v>
      </c>
      <c r="CD4" t="e">
        <f>AND(Sheet1!W31,"AAAAACPL5lE=")</f>
        <v>#VALUE!</v>
      </c>
      <c r="CE4" t="e">
        <f>AND(Sheet1!X31,"AAAAACPL5lI=")</f>
        <v>#VALUE!</v>
      </c>
      <c r="CF4" t="e">
        <f>AND(Sheet1!#REF!,"AAAAACPL5lM=")</f>
        <v>#REF!</v>
      </c>
      <c r="CG4" t="e">
        <f>AND(Sheet1!#REF!,"AAAAACPL5lQ=")</f>
        <v>#REF!</v>
      </c>
      <c r="CH4" t="e">
        <f>AND(Sheet1!Y31,"AAAAACPL5lU=")</f>
        <v>#VALUE!</v>
      </c>
      <c r="CI4" t="e">
        <f>AND(Sheet1!Z31,"AAAAACPL5lY=")</f>
        <v>#VALUE!</v>
      </c>
      <c r="CJ4" t="e">
        <f>AND(Sheet1!AA31,"AAAAACPL5lc=")</f>
        <v>#VALUE!</v>
      </c>
      <c r="CK4" t="e">
        <f>AND(Sheet1!AB31,"AAAAACPL5lg=")</f>
        <v>#VALUE!</v>
      </c>
      <c r="CL4" t="e">
        <f>AND(Sheet1!AC31,"AAAAACPL5lk=")</f>
        <v>#VALUE!</v>
      </c>
      <c r="CM4">
        <f>IF(Sheet1!32:32,"AAAAACPL5lo=",0)</f>
        <v>0</v>
      </c>
      <c r="CN4" t="e">
        <f>AND(Sheet1!A32,"AAAAACPL5ls=")</f>
        <v>#VALUE!</v>
      </c>
      <c r="CO4" t="e">
        <f>AND(Sheet1!B32,"AAAAACPL5lw=")</f>
        <v>#VALUE!</v>
      </c>
      <c r="CP4" t="e">
        <f>AND(Sheet1!C32,"AAAAACPL5l0=")</f>
        <v>#VALUE!</v>
      </c>
      <c r="CQ4" t="e">
        <f>AND(Sheet1!D32,"AAAAACPL5l4=")</f>
        <v>#VALUE!</v>
      </c>
      <c r="CR4" t="e">
        <f>AND(Sheet1!E32,"AAAAACPL5l8=")</f>
        <v>#VALUE!</v>
      </c>
      <c r="CS4" t="e">
        <f>AND(Sheet1!F32,"AAAAACPL5mA=")</f>
        <v>#VALUE!</v>
      </c>
      <c r="CT4" t="e">
        <f>AND(Sheet1!G32,"AAAAACPL5mE=")</f>
        <v>#VALUE!</v>
      </c>
      <c r="CU4" t="e">
        <f>AND(Sheet1!H32,"AAAAACPL5mI=")</f>
        <v>#VALUE!</v>
      </c>
      <c r="CV4" t="e">
        <f>AND(Sheet1!I32,"AAAAACPL5mM=")</f>
        <v>#VALUE!</v>
      </c>
      <c r="CW4" t="e">
        <f>AND(Sheet1!J32,"AAAAACPL5mQ=")</f>
        <v>#VALUE!</v>
      </c>
      <c r="CX4" t="e">
        <f>AND(Sheet1!K32,"AAAAACPL5mU=")</f>
        <v>#VALUE!</v>
      </c>
      <c r="CY4" t="e">
        <f>AND(Sheet1!L32,"AAAAACPL5mY=")</f>
        <v>#VALUE!</v>
      </c>
      <c r="CZ4" t="e">
        <f>AND(Sheet1!M32,"AAAAACPL5mc=")</f>
        <v>#VALUE!</v>
      </c>
      <c r="DA4" t="e">
        <f>AND(Sheet1!N32,"AAAAACPL5mg=")</f>
        <v>#VALUE!</v>
      </c>
      <c r="DB4" t="e">
        <f>AND(Sheet1!#REF!,"AAAAACPL5mk=")</f>
        <v>#REF!</v>
      </c>
      <c r="DC4" t="e">
        <f>AND(Sheet1!#REF!,"AAAAACPL5mo=")</f>
        <v>#REF!</v>
      </c>
      <c r="DD4" t="e">
        <f>AND(Sheet1!O32,"AAAAACPL5ms=")</f>
        <v>#VALUE!</v>
      </c>
      <c r="DE4" t="e">
        <f>AND(Sheet1!Q32,"AAAAACPL5mw=")</f>
        <v>#VALUE!</v>
      </c>
      <c r="DF4" t="e">
        <f>AND(Sheet1!R32,"AAAAACPL5m0=")</f>
        <v>#VALUE!</v>
      </c>
      <c r="DG4" t="e">
        <f>AND(Sheet1!S32,"AAAAACPL5m4=")</f>
        <v>#VALUE!</v>
      </c>
      <c r="DH4" t="e">
        <f>AND(Sheet1!T32,"AAAAACPL5m8=")</f>
        <v>#VALUE!</v>
      </c>
      <c r="DI4" t="e">
        <f>AND(Sheet1!U32,"AAAAACPL5nA=")</f>
        <v>#VALUE!</v>
      </c>
      <c r="DJ4" t="e">
        <f>AND(Sheet1!V32,"AAAAACPL5nE=")</f>
        <v>#VALUE!</v>
      </c>
      <c r="DK4" t="e">
        <f>AND(Sheet1!W32,"AAAAACPL5nI=")</f>
        <v>#VALUE!</v>
      </c>
      <c r="DL4" t="e">
        <f>AND(Sheet1!X32,"AAAAACPL5nM=")</f>
        <v>#VALUE!</v>
      </c>
      <c r="DM4" t="e">
        <f>AND(Sheet1!#REF!,"AAAAACPL5nQ=")</f>
        <v>#REF!</v>
      </c>
      <c r="DN4" t="e">
        <f>AND(Sheet1!#REF!,"AAAAACPL5nU=")</f>
        <v>#REF!</v>
      </c>
      <c r="DO4" t="e">
        <f>AND(Sheet1!Y32,"AAAAACPL5nY=")</f>
        <v>#VALUE!</v>
      </c>
      <c r="DP4" t="e">
        <f>AND(Sheet1!Z32,"AAAAACPL5nc=")</f>
        <v>#VALUE!</v>
      </c>
      <c r="DQ4" t="e">
        <f>AND(Sheet1!AA32,"AAAAACPL5ng=")</f>
        <v>#VALUE!</v>
      </c>
      <c r="DR4" t="e">
        <f>AND(Sheet1!AB32,"AAAAACPL5nk=")</f>
        <v>#VALUE!</v>
      </c>
      <c r="DS4" t="e">
        <f>AND(Sheet1!AC32,"AAAAACPL5no=")</f>
        <v>#VALUE!</v>
      </c>
      <c r="DT4" t="e">
        <f>IF(Sheet1!#REF!,"AAAAACPL5ns=",0)</f>
        <v>#REF!</v>
      </c>
      <c r="DU4" t="e">
        <f>AND(Sheet1!#REF!,"AAAAACPL5nw=")</f>
        <v>#REF!</v>
      </c>
      <c r="DV4" t="e">
        <f>AND(Sheet1!#REF!,"AAAAACPL5n0=")</f>
        <v>#REF!</v>
      </c>
      <c r="DW4" t="e">
        <f>AND(Sheet1!#REF!,"AAAAACPL5n4=")</f>
        <v>#REF!</v>
      </c>
      <c r="DX4" t="e">
        <f>AND(Sheet1!#REF!,"AAAAACPL5n8=")</f>
        <v>#REF!</v>
      </c>
      <c r="DY4" t="e">
        <f>AND(Sheet1!#REF!,"AAAAACPL5oA=")</f>
        <v>#REF!</v>
      </c>
      <c r="DZ4" t="e">
        <f>AND(Sheet1!#REF!,"AAAAACPL5oE=")</f>
        <v>#REF!</v>
      </c>
      <c r="EA4" t="e">
        <f>AND(Sheet1!#REF!,"AAAAACPL5oI=")</f>
        <v>#REF!</v>
      </c>
      <c r="EB4" t="e">
        <f>AND(Sheet1!#REF!,"AAAAACPL5oM=")</f>
        <v>#REF!</v>
      </c>
      <c r="EC4" t="e">
        <f>AND(Sheet1!#REF!,"AAAAACPL5oQ=")</f>
        <v>#REF!</v>
      </c>
      <c r="ED4" t="e">
        <f>AND(Sheet1!#REF!,"AAAAACPL5oU=")</f>
        <v>#REF!</v>
      </c>
      <c r="EE4" t="e">
        <f>AND(Sheet1!#REF!,"AAAAACPL5oY=")</f>
        <v>#REF!</v>
      </c>
      <c r="EF4" t="e">
        <f>AND(Sheet1!#REF!,"AAAAACPL5oc=")</f>
        <v>#REF!</v>
      </c>
      <c r="EG4" t="e">
        <f>AND(Sheet1!#REF!,"AAAAACPL5og=")</f>
        <v>#REF!</v>
      </c>
      <c r="EH4" t="e">
        <f>AND(Sheet1!#REF!,"AAAAACPL5ok=")</f>
        <v>#REF!</v>
      </c>
      <c r="EI4" t="e">
        <f>AND(Sheet1!#REF!,"AAAAACPL5oo=")</f>
        <v>#REF!</v>
      </c>
      <c r="EJ4" t="e">
        <f>AND(Sheet1!#REF!,"AAAAACPL5os=")</f>
        <v>#REF!</v>
      </c>
      <c r="EK4" t="e">
        <f>AND(Sheet1!#REF!,"AAAAACPL5ow=")</f>
        <v>#REF!</v>
      </c>
      <c r="EL4" t="e">
        <f>AND(Sheet1!#REF!,"AAAAACPL5o0=")</f>
        <v>#REF!</v>
      </c>
      <c r="EM4" t="e">
        <f>AND(Sheet1!#REF!,"AAAAACPL5o4=")</f>
        <v>#REF!</v>
      </c>
      <c r="EN4" t="e">
        <f>AND(Sheet1!#REF!,"AAAAACPL5o8=")</f>
        <v>#REF!</v>
      </c>
      <c r="EO4" t="e">
        <f>AND(Sheet1!#REF!,"AAAAACPL5pA=")</f>
        <v>#REF!</v>
      </c>
      <c r="EP4" t="e">
        <f>AND(Sheet1!#REF!,"AAAAACPL5pE=")</f>
        <v>#REF!</v>
      </c>
      <c r="EQ4" t="e">
        <f>AND(Sheet1!#REF!,"AAAAACPL5pI=")</f>
        <v>#REF!</v>
      </c>
      <c r="ER4" t="e">
        <f>AND(Sheet1!#REF!,"AAAAACPL5pM=")</f>
        <v>#REF!</v>
      </c>
      <c r="ES4" t="e">
        <f>AND(Sheet1!#REF!,"AAAAACPL5pQ=")</f>
        <v>#REF!</v>
      </c>
      <c r="ET4" t="e">
        <f>AND(Sheet1!#REF!,"AAAAACPL5pU=")</f>
        <v>#REF!</v>
      </c>
      <c r="EU4" t="e">
        <f>AND(Sheet1!#REF!,"AAAAACPL5pY=")</f>
        <v>#REF!</v>
      </c>
      <c r="EV4" t="e">
        <f>AND(Sheet1!#REF!,"AAAAACPL5pc=")</f>
        <v>#REF!</v>
      </c>
      <c r="EW4" t="e">
        <f>AND(Sheet1!#REF!,"AAAAACPL5pg=")</f>
        <v>#REF!</v>
      </c>
      <c r="EX4" t="e">
        <f>AND(Sheet1!#REF!,"AAAAACPL5pk=")</f>
        <v>#REF!</v>
      </c>
      <c r="EY4" t="e">
        <f>AND(Sheet1!#REF!,"AAAAACPL5po=")</f>
        <v>#REF!</v>
      </c>
      <c r="EZ4" t="e">
        <f>AND(Sheet1!#REF!,"AAAAACPL5ps=")</f>
        <v>#REF!</v>
      </c>
      <c r="FA4">
        <f>IF(Sheet1!34:34,"AAAAACPL5pw=",0)</f>
        <v>0</v>
      </c>
      <c r="FB4" t="e">
        <f>AND(Sheet1!#REF!,"AAAAACPL5p0=")</f>
        <v>#REF!</v>
      </c>
      <c r="FC4" t="e">
        <f>AND(Sheet1!#REF!,"AAAAACPL5p4=")</f>
        <v>#REF!</v>
      </c>
      <c r="FD4" t="e">
        <f>AND(Sheet1!#REF!,"AAAAACPL5p8=")</f>
        <v>#REF!</v>
      </c>
      <c r="FE4" t="e">
        <f>AND(Sheet1!#REF!,"AAAAACPL5qA=")</f>
        <v>#REF!</v>
      </c>
      <c r="FF4" t="e">
        <f>AND(Sheet1!#REF!,"AAAAACPL5qE=")</f>
        <v>#REF!</v>
      </c>
      <c r="FG4" t="e">
        <f>AND(Sheet1!#REF!,"AAAAACPL5qI=")</f>
        <v>#REF!</v>
      </c>
      <c r="FH4" t="e">
        <f>AND(Sheet1!#REF!,"AAAAACPL5qM=")</f>
        <v>#REF!</v>
      </c>
      <c r="FI4" t="e">
        <f>AND(Sheet1!#REF!,"AAAAACPL5qQ=")</f>
        <v>#REF!</v>
      </c>
      <c r="FJ4" t="e">
        <f>AND(Sheet1!#REF!,"AAAAACPL5qU=")</f>
        <v>#REF!</v>
      </c>
      <c r="FK4" t="e">
        <f>AND(Sheet1!#REF!,"AAAAACPL5qY=")</f>
        <v>#REF!</v>
      </c>
      <c r="FL4" t="e">
        <f>AND(Sheet1!#REF!,"AAAAACPL5qc=")</f>
        <v>#REF!</v>
      </c>
      <c r="FM4" t="e">
        <f>AND(Sheet1!#REF!,"AAAAACPL5qg=")</f>
        <v>#REF!</v>
      </c>
      <c r="FN4" t="e">
        <f>AND(Sheet1!#REF!,"AAAAACPL5qk=")</f>
        <v>#REF!</v>
      </c>
      <c r="FO4" t="e">
        <f>AND(Sheet1!#REF!,"AAAAACPL5qo=")</f>
        <v>#REF!</v>
      </c>
      <c r="FP4" t="e">
        <f>AND(Sheet1!#REF!,"AAAAACPL5qs=")</f>
        <v>#REF!</v>
      </c>
      <c r="FQ4" t="e">
        <f>AND(Sheet1!#REF!,"AAAAACPL5qw=")</f>
        <v>#REF!</v>
      </c>
      <c r="FR4" t="e">
        <f>AND(Sheet1!#REF!,"AAAAACPL5q0=")</f>
        <v>#REF!</v>
      </c>
      <c r="FS4" t="e">
        <f>AND(Sheet1!#REF!,"AAAAACPL5q4=")</f>
        <v>#REF!</v>
      </c>
      <c r="FT4" t="e">
        <f>AND(Sheet1!#REF!,"AAAAACPL5q8=")</f>
        <v>#REF!</v>
      </c>
      <c r="FU4" t="e">
        <f>AND(Sheet1!#REF!,"AAAAACPL5rA=")</f>
        <v>#REF!</v>
      </c>
      <c r="FV4" t="e">
        <f>AND(Sheet1!#REF!,"AAAAACPL5rE=")</f>
        <v>#REF!</v>
      </c>
      <c r="FW4" t="e">
        <f>AND(Sheet1!#REF!,"AAAAACPL5rI=")</f>
        <v>#REF!</v>
      </c>
      <c r="FX4" t="e">
        <f>AND(Sheet1!#REF!,"AAAAACPL5rM=")</f>
        <v>#REF!</v>
      </c>
      <c r="FY4" t="e">
        <f>AND(Sheet1!#REF!,"AAAAACPL5rQ=")</f>
        <v>#REF!</v>
      </c>
      <c r="FZ4" t="e">
        <f>AND(Sheet1!#REF!,"AAAAACPL5rU=")</f>
        <v>#REF!</v>
      </c>
      <c r="GA4" t="e">
        <f>AND(Sheet1!W34,"AAAAACPL5rY=")</f>
        <v>#VALUE!</v>
      </c>
      <c r="GB4" t="e">
        <f>AND(Sheet1!X34,"AAAAACPL5rc=")</f>
        <v>#VALUE!</v>
      </c>
      <c r="GC4" t="e">
        <f>AND(Sheet1!#REF!,"AAAAACPL5rg=")</f>
        <v>#REF!</v>
      </c>
      <c r="GD4" t="e">
        <f>AND(Sheet1!Z34,"AAAAACPL5rk=")</f>
        <v>#VALUE!</v>
      </c>
      <c r="GE4" t="e">
        <f>AND(Sheet1!AA34,"AAAAACPL5ro=")</f>
        <v>#VALUE!</v>
      </c>
      <c r="GF4" t="e">
        <f>AND(Sheet1!AB34,"AAAAACPL5rs=")</f>
        <v>#VALUE!</v>
      </c>
      <c r="GG4" t="e">
        <f>AND(Sheet1!AC34,"AAAAACPL5rw=")</f>
        <v>#VALUE!</v>
      </c>
      <c r="GH4">
        <f>IF(Sheet1!35:35,"AAAAACPL5r0=",0)</f>
        <v>0</v>
      </c>
      <c r="GI4" t="e">
        <f>AND(Sheet1!A35,"AAAAACPL5r4=")</f>
        <v>#VALUE!</v>
      </c>
      <c r="GJ4" t="e">
        <f>AND(Sheet1!B35,"AAAAACPL5r8=")</f>
        <v>#VALUE!</v>
      </c>
      <c r="GK4" t="e">
        <f>AND(Sheet1!C35,"AAAAACPL5sA=")</f>
        <v>#VALUE!</v>
      </c>
      <c r="GL4" t="e">
        <f>AND(Sheet1!D35,"AAAAACPL5sE=")</f>
        <v>#VALUE!</v>
      </c>
      <c r="GM4" t="e">
        <f>AND(Sheet1!E35,"AAAAACPL5sI=")</f>
        <v>#VALUE!</v>
      </c>
      <c r="GN4" t="e">
        <f>AND(Sheet1!F35,"AAAAACPL5sM=")</f>
        <v>#VALUE!</v>
      </c>
      <c r="GO4" t="e">
        <f>AND(Sheet1!G35,"AAAAACPL5sQ=")</f>
        <v>#VALUE!</v>
      </c>
      <c r="GP4" t="e">
        <f>AND(Sheet1!H35,"AAAAACPL5sU=")</f>
        <v>#VALUE!</v>
      </c>
      <c r="GQ4" t="e">
        <f>AND(Sheet1!I35,"AAAAACPL5sY=")</f>
        <v>#VALUE!</v>
      </c>
      <c r="GR4" t="e">
        <f>AND(Sheet1!J35,"AAAAACPL5sc=")</f>
        <v>#VALUE!</v>
      </c>
      <c r="GS4" t="e">
        <f>AND(Sheet1!K35,"AAAAACPL5sg=")</f>
        <v>#VALUE!</v>
      </c>
      <c r="GT4" t="e">
        <f>AND(Sheet1!L35,"AAAAACPL5sk=")</f>
        <v>#VALUE!</v>
      </c>
      <c r="GU4" t="e">
        <f>AND(Sheet1!M35,"AAAAACPL5so=")</f>
        <v>#VALUE!</v>
      </c>
      <c r="GV4" t="e">
        <f>AND(Sheet1!N35,"AAAAACPL5ss=")</f>
        <v>#VALUE!</v>
      </c>
      <c r="GW4" t="e">
        <f>AND(Sheet1!#REF!,"AAAAACPL5sw=")</f>
        <v>#REF!</v>
      </c>
      <c r="GX4" t="e">
        <f>AND(Sheet1!#REF!,"AAAAACPL5s0=")</f>
        <v>#REF!</v>
      </c>
      <c r="GY4" t="e">
        <f>AND(Sheet1!O35,"AAAAACPL5s4=")</f>
        <v>#VALUE!</v>
      </c>
      <c r="GZ4" t="e">
        <f>AND(Sheet1!Q35,"AAAAACPL5s8=")</f>
        <v>#VALUE!</v>
      </c>
      <c r="HA4" t="e">
        <f>AND(Sheet1!R35,"AAAAACPL5tA=")</f>
        <v>#VALUE!</v>
      </c>
      <c r="HB4" t="e">
        <f>AND(Sheet1!#REF!,"AAAAACPL5tE=")</f>
        <v>#REF!</v>
      </c>
      <c r="HC4" t="e">
        <f>AND(Sheet1!#REF!,"AAAAACPL5tI=")</f>
        <v>#REF!</v>
      </c>
      <c r="HD4" t="e">
        <f>AND(Sheet1!#REF!,"AAAAACPL5tM=")</f>
        <v>#REF!</v>
      </c>
      <c r="HE4" t="e">
        <f>AND(Sheet1!#REF!,"AAAAACPL5tQ=")</f>
        <v>#REF!</v>
      </c>
      <c r="HF4" t="e">
        <f>AND(Sheet1!T35,"AAAAACPL5tU=")</f>
        <v>#VALUE!</v>
      </c>
      <c r="HG4" t="e">
        <f>AND(Sheet1!V35,"AAAAACPL5tY=")</f>
        <v>#VALUE!</v>
      </c>
      <c r="HH4" t="e">
        <f>AND(Sheet1!W35,"AAAAACPL5tc=")</f>
        <v>#VALUE!</v>
      </c>
      <c r="HI4" t="e">
        <f>AND(Sheet1!X35,"AAAAACPL5tg=")</f>
        <v>#VALUE!</v>
      </c>
      <c r="HJ4" t="e">
        <f>AND(Sheet1!#REF!,"AAAAACPL5tk=")</f>
        <v>#REF!</v>
      </c>
      <c r="HK4" t="e">
        <f>AND(Sheet1!Z35,"AAAAACPL5to=")</f>
        <v>#VALUE!</v>
      </c>
      <c r="HL4" t="e">
        <f>AND(Sheet1!AA35,"AAAAACPL5ts=")</f>
        <v>#VALUE!</v>
      </c>
      <c r="HM4" t="e">
        <f>AND(Sheet1!AB35,"AAAAACPL5tw=")</f>
        <v>#VALUE!</v>
      </c>
      <c r="HN4" t="e">
        <f>AND(Sheet1!AC35,"AAAAACPL5t0=")</f>
        <v>#VALUE!</v>
      </c>
      <c r="HO4">
        <f>IF(Sheet1!36:36,"AAAAACPL5t4=",0)</f>
        <v>0</v>
      </c>
      <c r="HP4" t="e">
        <f>AND(Sheet1!A36,"AAAAACPL5t8=")</f>
        <v>#VALUE!</v>
      </c>
      <c r="HQ4" t="e">
        <f>AND(Sheet1!B36,"AAAAACPL5uA=")</f>
        <v>#VALUE!</v>
      </c>
      <c r="HR4" t="e">
        <f>AND(Sheet1!C36,"AAAAACPL5uE=")</f>
        <v>#VALUE!</v>
      </c>
      <c r="HS4" t="e">
        <f>AND(Sheet1!D36,"AAAAACPL5uI=")</f>
        <v>#VALUE!</v>
      </c>
      <c r="HT4" t="e">
        <f>AND(Sheet1!E36,"AAAAACPL5uM=")</f>
        <v>#VALUE!</v>
      </c>
      <c r="HU4" t="e">
        <f>AND(Sheet1!F36,"AAAAACPL5uQ=")</f>
        <v>#VALUE!</v>
      </c>
      <c r="HV4" t="e">
        <f>AND(Sheet1!G36,"AAAAACPL5uU=")</f>
        <v>#VALUE!</v>
      </c>
      <c r="HW4" t="e">
        <f>AND(Sheet1!H36,"AAAAACPL5uY=")</f>
        <v>#VALUE!</v>
      </c>
      <c r="HX4" t="e">
        <f>AND(Sheet1!I36,"AAAAACPL5uc=")</f>
        <v>#VALUE!</v>
      </c>
      <c r="HY4" t="e">
        <f>AND(Sheet1!J36,"AAAAACPL5ug=")</f>
        <v>#VALUE!</v>
      </c>
      <c r="HZ4" t="e">
        <f>AND(Sheet1!K36,"AAAAACPL5uk=")</f>
        <v>#VALUE!</v>
      </c>
      <c r="IA4" t="e">
        <f>AND(Sheet1!L36,"AAAAACPL5uo=")</f>
        <v>#VALUE!</v>
      </c>
      <c r="IB4" t="e">
        <f>AND(Sheet1!M36,"AAAAACPL5us=")</f>
        <v>#VALUE!</v>
      </c>
      <c r="IC4" t="e">
        <f>AND(Sheet1!N36,"AAAAACPL5uw=")</f>
        <v>#VALUE!</v>
      </c>
      <c r="ID4" t="e">
        <f>AND(Sheet1!#REF!,"AAAAACPL5u0=")</f>
        <v>#REF!</v>
      </c>
      <c r="IE4" t="e">
        <f>AND(Sheet1!#REF!,"AAAAACPL5u4=")</f>
        <v>#REF!</v>
      </c>
      <c r="IF4" t="e">
        <f>AND(Sheet1!O36,"AAAAACPL5u8=")</f>
        <v>#VALUE!</v>
      </c>
      <c r="IG4" t="e">
        <f>AND(Sheet1!Q36,"AAAAACPL5vA=")</f>
        <v>#VALUE!</v>
      </c>
      <c r="IH4" t="e">
        <f>AND(Sheet1!R36,"AAAAACPL5vE=")</f>
        <v>#VALUE!</v>
      </c>
      <c r="II4" t="e">
        <f>AND(Sheet1!S36,"AAAAACPL5vI=")</f>
        <v>#VALUE!</v>
      </c>
      <c r="IJ4" t="e">
        <f>AND(Sheet1!T36,"AAAAACPL5vM=")</f>
        <v>#VALUE!</v>
      </c>
      <c r="IK4" t="e">
        <f>AND(Sheet1!U36,"AAAAACPL5vQ=")</f>
        <v>#VALUE!</v>
      </c>
      <c r="IL4" t="e">
        <f>AND(Sheet1!V36,"AAAAACPL5vU=")</f>
        <v>#VALUE!</v>
      </c>
      <c r="IM4" t="e">
        <f>AND(Sheet1!W36,"AAAAACPL5vY=")</f>
        <v>#VALUE!</v>
      </c>
      <c r="IN4" t="e">
        <f>AND(Sheet1!X36,"AAAAACPL5vc=")</f>
        <v>#VALUE!</v>
      </c>
      <c r="IO4" t="e">
        <f>AND(Sheet1!#REF!,"AAAAACPL5vg=")</f>
        <v>#REF!</v>
      </c>
      <c r="IP4" t="e">
        <f>AND(Sheet1!#REF!,"AAAAACPL5vk=")</f>
        <v>#REF!</v>
      </c>
      <c r="IQ4" t="e">
        <f>AND(Sheet1!#REF!,"AAAAACPL5vo=")</f>
        <v>#REF!</v>
      </c>
      <c r="IR4" t="e">
        <f>AND(Sheet1!Z36,"AAAAACPL5vs=")</f>
        <v>#VALUE!</v>
      </c>
      <c r="IS4" t="e">
        <f>AND(Sheet1!AA36,"AAAAACPL5vw=")</f>
        <v>#VALUE!</v>
      </c>
      <c r="IT4" t="e">
        <f>AND(Sheet1!AB36,"AAAAACPL5v0=")</f>
        <v>#VALUE!</v>
      </c>
      <c r="IU4" t="e">
        <f>AND(Sheet1!AC36,"AAAAACPL5v4=")</f>
        <v>#VALUE!</v>
      </c>
      <c r="IV4">
        <f>IF(Sheet1!37:37,"AAAAACPL5v8=",0)</f>
        <v>0</v>
      </c>
    </row>
    <row r="5" spans="1:256" x14ac:dyDescent="0.25">
      <c r="A5" t="e">
        <f>AND(Sheet1!A37,"AAAAAE7NngA=")</f>
        <v>#VALUE!</v>
      </c>
      <c r="B5" t="e">
        <f>AND(Sheet1!B37,"AAAAAE7NngE=")</f>
        <v>#VALUE!</v>
      </c>
      <c r="C5" t="e">
        <f>AND(Sheet1!C37,"AAAAAE7NngI=")</f>
        <v>#VALUE!</v>
      </c>
      <c r="D5" t="e">
        <f>AND(Sheet1!D37,"AAAAAE7NngM=")</f>
        <v>#VALUE!</v>
      </c>
      <c r="E5" t="e">
        <f>AND(Sheet1!E37,"AAAAAE7NngQ=")</f>
        <v>#VALUE!</v>
      </c>
      <c r="F5" t="e">
        <f>AND(Sheet1!F37,"AAAAAE7NngU=")</f>
        <v>#VALUE!</v>
      </c>
      <c r="G5" t="e">
        <f>AND(Sheet1!G37,"AAAAAE7NngY=")</f>
        <v>#VALUE!</v>
      </c>
      <c r="H5" t="e">
        <f>AND(Sheet1!H37,"AAAAAE7Nngc=")</f>
        <v>#VALUE!</v>
      </c>
      <c r="I5" t="e">
        <f>AND(Sheet1!I37,"AAAAAE7Nngg=")</f>
        <v>#VALUE!</v>
      </c>
      <c r="J5" t="e">
        <f>AND(Sheet1!J37,"AAAAAE7Nngk=")</f>
        <v>#VALUE!</v>
      </c>
      <c r="K5" t="e">
        <f>AND(Sheet1!K37,"AAAAAE7Nngo=")</f>
        <v>#VALUE!</v>
      </c>
      <c r="L5" t="e">
        <f>AND(Sheet1!L37,"AAAAAE7Nngs=")</f>
        <v>#VALUE!</v>
      </c>
      <c r="M5" t="e">
        <f>AND(Sheet1!M37,"AAAAAE7Nngw=")</f>
        <v>#VALUE!</v>
      </c>
      <c r="N5" t="e">
        <f>AND(Sheet1!N37,"AAAAAE7Nng0=")</f>
        <v>#VALUE!</v>
      </c>
      <c r="O5" t="e">
        <f>AND(Sheet1!#REF!,"AAAAAE7Nng4=")</f>
        <v>#REF!</v>
      </c>
      <c r="P5" t="e">
        <f>AND(Sheet1!#REF!,"AAAAAE7Nng8=")</f>
        <v>#REF!</v>
      </c>
      <c r="Q5" t="e">
        <f>AND(Sheet1!O37,"AAAAAE7NnhA=")</f>
        <v>#VALUE!</v>
      </c>
      <c r="R5" t="e">
        <f>AND(Sheet1!Q37,"AAAAAE7NnhE=")</f>
        <v>#VALUE!</v>
      </c>
      <c r="S5" t="e">
        <f>AND(Sheet1!R37,"AAAAAE7NnhI=")</f>
        <v>#VALUE!</v>
      </c>
      <c r="T5" t="e">
        <f>AND(Sheet1!#REF!,"AAAAAE7NnhM=")</f>
        <v>#REF!</v>
      </c>
      <c r="U5" t="e">
        <f>AND(Sheet1!#REF!,"AAAAAE7NnhQ=")</f>
        <v>#REF!</v>
      </c>
      <c r="V5" t="e">
        <f>AND(Sheet1!#REF!,"AAAAAE7NnhU=")</f>
        <v>#REF!</v>
      </c>
      <c r="W5" t="e">
        <f>AND(Sheet1!#REF!,"AAAAAE7NnhY=")</f>
        <v>#REF!</v>
      </c>
      <c r="X5" t="e">
        <f>AND(Sheet1!#REF!,"AAAAAE7Nnhc=")</f>
        <v>#REF!</v>
      </c>
      <c r="Y5" t="e">
        <f>AND(Sheet1!X37,"AAAAAE7Nnhg=")</f>
        <v>#VALUE!</v>
      </c>
      <c r="Z5" t="e">
        <f>AND(Sheet1!#REF!,"AAAAAE7Nnhk=")</f>
        <v>#REF!</v>
      </c>
      <c r="AA5" t="e">
        <f>AND(Sheet1!#REF!,"AAAAAE7Nnho=")</f>
        <v>#REF!</v>
      </c>
      <c r="AB5" t="e">
        <f>AND(Sheet1!#REF!,"AAAAAE7Nnhs=")</f>
        <v>#REF!</v>
      </c>
      <c r="AC5" t="e">
        <f>AND(Sheet1!Z37,"AAAAAE7Nnhw=")</f>
        <v>#VALUE!</v>
      </c>
      <c r="AD5" t="e">
        <f>AND(Sheet1!AA37,"AAAAAE7Nnh0=")</f>
        <v>#VALUE!</v>
      </c>
      <c r="AE5" t="e">
        <f>AND(Sheet1!AB37,"AAAAAE7Nnh4=")</f>
        <v>#VALUE!</v>
      </c>
      <c r="AF5" t="e">
        <f>AND(Sheet1!AC37,"AAAAAE7Nnh8=")</f>
        <v>#VALUE!</v>
      </c>
      <c r="AG5">
        <f>IF(Sheet1!38:38,"AAAAAE7NniA=",0)</f>
        <v>0</v>
      </c>
      <c r="AH5" t="e">
        <f>AND(Sheet1!A38,"AAAAAE7NniE=")</f>
        <v>#VALUE!</v>
      </c>
      <c r="AI5" t="e">
        <f>AND(Sheet1!B38,"AAAAAE7NniI=")</f>
        <v>#VALUE!</v>
      </c>
      <c r="AJ5" t="e">
        <f>AND(Sheet1!C38,"AAAAAE7NniM=")</f>
        <v>#VALUE!</v>
      </c>
      <c r="AK5" t="e">
        <f>AND(Sheet1!D38,"AAAAAE7NniQ=")</f>
        <v>#VALUE!</v>
      </c>
      <c r="AL5" t="e">
        <f>AND(Sheet1!E38,"AAAAAE7NniU=")</f>
        <v>#VALUE!</v>
      </c>
      <c r="AM5" t="e">
        <f>AND(Sheet1!F38,"AAAAAE7NniY=")</f>
        <v>#VALUE!</v>
      </c>
      <c r="AN5" t="e">
        <f>AND(Sheet1!G38,"AAAAAE7Nnic=")</f>
        <v>#VALUE!</v>
      </c>
      <c r="AO5" t="e">
        <f>AND(Sheet1!H38,"AAAAAE7Nnig=")</f>
        <v>#VALUE!</v>
      </c>
      <c r="AP5" t="e">
        <f>AND(Sheet1!I38,"AAAAAE7Nnik=")</f>
        <v>#VALUE!</v>
      </c>
      <c r="AQ5" t="e">
        <f>AND(Sheet1!J38,"AAAAAE7Nnio=")</f>
        <v>#VALUE!</v>
      </c>
      <c r="AR5" t="e">
        <f>AND(Sheet1!K38,"AAAAAE7Nnis=")</f>
        <v>#VALUE!</v>
      </c>
      <c r="AS5" t="e">
        <f>AND(Sheet1!L38,"AAAAAE7Nniw=")</f>
        <v>#VALUE!</v>
      </c>
      <c r="AT5" t="e">
        <f>AND(Sheet1!M38,"AAAAAE7Nni0=")</f>
        <v>#VALUE!</v>
      </c>
      <c r="AU5" t="e">
        <f>AND(Sheet1!N38,"AAAAAE7Nni4=")</f>
        <v>#VALUE!</v>
      </c>
      <c r="AV5" t="e">
        <f>AND(Sheet1!#REF!,"AAAAAE7Nni8=")</f>
        <v>#REF!</v>
      </c>
      <c r="AW5" t="e">
        <f>AND(Sheet1!#REF!,"AAAAAE7NnjA=")</f>
        <v>#REF!</v>
      </c>
      <c r="AX5" t="e">
        <f>AND(Sheet1!O38,"AAAAAE7NnjE=")</f>
        <v>#VALUE!</v>
      </c>
      <c r="AY5" t="e">
        <f>AND(Sheet1!Q38,"AAAAAE7NnjI=")</f>
        <v>#VALUE!</v>
      </c>
      <c r="AZ5" t="e">
        <f>AND(Sheet1!R38,"AAAAAE7NnjM=")</f>
        <v>#VALUE!</v>
      </c>
      <c r="BA5" t="e">
        <f>AND(Sheet1!#REF!,"AAAAAE7NnjQ=")</f>
        <v>#REF!</v>
      </c>
      <c r="BB5" t="e">
        <f>AND(Sheet1!#REF!,"AAAAAE7NnjU=")</f>
        <v>#REF!</v>
      </c>
      <c r="BC5" t="e">
        <f>AND(Sheet1!#REF!,"AAAAAE7NnjY=")</f>
        <v>#REF!</v>
      </c>
      <c r="BD5" t="e">
        <f>AND(Sheet1!#REF!,"AAAAAE7Nnjc=")</f>
        <v>#REF!</v>
      </c>
      <c r="BE5" t="e">
        <f>AND(Sheet1!#REF!,"AAAAAE7Nnjg=")</f>
        <v>#REF!</v>
      </c>
      <c r="BF5" t="e">
        <f>AND(Sheet1!X38,"AAAAAE7Nnjk=")</f>
        <v>#VALUE!</v>
      </c>
      <c r="BG5" t="e">
        <f>AND(Sheet1!#REF!,"AAAAAE7Nnjo=")</f>
        <v>#REF!</v>
      </c>
      <c r="BH5" t="e">
        <f>AND(Sheet1!#REF!,"AAAAAE7Nnjs=")</f>
        <v>#REF!</v>
      </c>
      <c r="BI5" t="e">
        <f>AND(Sheet1!#REF!,"AAAAAE7Nnjw=")</f>
        <v>#REF!</v>
      </c>
      <c r="BJ5" t="e">
        <f>AND(Sheet1!Z38,"AAAAAE7Nnj0=")</f>
        <v>#VALUE!</v>
      </c>
      <c r="BK5" t="e">
        <f>AND(Sheet1!AA38,"AAAAAE7Nnj4=")</f>
        <v>#VALUE!</v>
      </c>
      <c r="BL5" t="e">
        <f>AND(Sheet1!AB38,"AAAAAE7Nnj8=")</f>
        <v>#VALUE!</v>
      </c>
      <c r="BM5" t="e">
        <f>AND(Sheet1!AC38,"AAAAAE7NnkA=")</f>
        <v>#VALUE!</v>
      </c>
      <c r="BN5">
        <f>IF(Sheet1!39:39,"AAAAAE7NnkE=",0)</f>
        <v>0</v>
      </c>
      <c r="BO5" t="e">
        <f>AND(Sheet1!A39,"AAAAAE7NnkI=")</f>
        <v>#VALUE!</v>
      </c>
      <c r="BP5" t="e">
        <f>AND(Sheet1!B39,"AAAAAE7NnkM=")</f>
        <v>#VALUE!</v>
      </c>
      <c r="BQ5" t="e">
        <f>AND(Sheet1!C39,"AAAAAE7NnkQ=")</f>
        <v>#VALUE!</v>
      </c>
      <c r="BR5" t="e">
        <f>AND(Sheet1!D39,"AAAAAE7NnkU=")</f>
        <v>#VALUE!</v>
      </c>
      <c r="BS5" t="e">
        <f>AND(Sheet1!E39,"AAAAAE7NnkY=")</f>
        <v>#VALUE!</v>
      </c>
      <c r="BT5" t="e">
        <f>AND(Sheet1!F39,"AAAAAE7Nnkc=")</f>
        <v>#VALUE!</v>
      </c>
      <c r="BU5" t="e">
        <f>AND(Sheet1!G39,"AAAAAE7Nnkg=")</f>
        <v>#VALUE!</v>
      </c>
      <c r="BV5" t="e">
        <f>AND(Sheet1!H39,"AAAAAE7Nnkk=")</f>
        <v>#VALUE!</v>
      </c>
      <c r="BW5" t="e">
        <f>AND(Sheet1!I39,"AAAAAE7Nnko=")</f>
        <v>#VALUE!</v>
      </c>
      <c r="BX5" t="e">
        <f>AND(Sheet1!J39,"AAAAAE7Nnks=")</f>
        <v>#VALUE!</v>
      </c>
      <c r="BY5" t="e">
        <f>AND(Sheet1!K39,"AAAAAE7Nnkw=")</f>
        <v>#VALUE!</v>
      </c>
      <c r="BZ5" t="e">
        <f>AND(Sheet1!L39,"AAAAAE7Nnk0=")</f>
        <v>#VALUE!</v>
      </c>
      <c r="CA5" t="e">
        <f>AND(Sheet1!M39,"AAAAAE7Nnk4=")</f>
        <v>#VALUE!</v>
      </c>
      <c r="CB5" t="e">
        <f>AND(Sheet1!N39,"AAAAAE7Nnk8=")</f>
        <v>#VALUE!</v>
      </c>
      <c r="CC5" t="e">
        <f>AND(Sheet1!#REF!,"AAAAAE7NnlA=")</f>
        <v>#REF!</v>
      </c>
      <c r="CD5" t="e">
        <f>AND(Sheet1!#REF!,"AAAAAE7NnlE=")</f>
        <v>#REF!</v>
      </c>
      <c r="CE5" t="e">
        <f>AND(Sheet1!O39,"AAAAAE7NnlI=")</f>
        <v>#VALUE!</v>
      </c>
      <c r="CF5" t="e">
        <f>AND(Sheet1!Q39,"AAAAAE7NnlM=")</f>
        <v>#VALUE!</v>
      </c>
      <c r="CG5" t="e">
        <f>AND(Sheet1!R39,"AAAAAE7NnlQ=")</f>
        <v>#VALUE!</v>
      </c>
      <c r="CH5" t="e">
        <f>AND(Sheet1!S39,"AAAAAE7NnlU=")</f>
        <v>#VALUE!</v>
      </c>
      <c r="CI5" t="e">
        <f>AND(Sheet1!T39,"AAAAAE7NnlY=")</f>
        <v>#VALUE!</v>
      </c>
      <c r="CJ5" t="e">
        <f>AND(Sheet1!U39,"AAAAAE7Nnlc=")</f>
        <v>#VALUE!</v>
      </c>
      <c r="CK5" t="e">
        <f>AND(Sheet1!#REF!,"AAAAAE7Nnlg=")</f>
        <v>#REF!</v>
      </c>
      <c r="CL5" t="e">
        <f>AND(Sheet1!#REF!,"AAAAAE7Nnlk=")</f>
        <v>#REF!</v>
      </c>
      <c r="CM5" t="e">
        <f>AND(Sheet1!#REF!,"AAAAAE7Nnlo=")</f>
        <v>#REF!</v>
      </c>
      <c r="CN5" t="e">
        <f>AND(Sheet1!#REF!,"AAAAAE7Nnls=")</f>
        <v>#REF!</v>
      </c>
      <c r="CO5" t="e">
        <f>AND(Sheet1!#REF!,"AAAAAE7Nnlw=")</f>
        <v>#REF!</v>
      </c>
      <c r="CP5" t="e">
        <f>AND(Sheet1!Y39,"AAAAAE7Nnl0=")</f>
        <v>#VALUE!</v>
      </c>
      <c r="CQ5" t="e">
        <f>AND(Sheet1!Z39,"AAAAAE7Nnl4=")</f>
        <v>#VALUE!</v>
      </c>
      <c r="CR5" t="e">
        <f>AND(Sheet1!AA39,"AAAAAE7Nnl8=")</f>
        <v>#VALUE!</v>
      </c>
      <c r="CS5" t="e">
        <f>AND(Sheet1!AB39,"AAAAAE7NnmA=")</f>
        <v>#VALUE!</v>
      </c>
      <c r="CT5" t="e">
        <f>AND(Sheet1!AC39,"AAAAAE7NnmE=")</f>
        <v>#VALUE!</v>
      </c>
      <c r="CU5">
        <f>IF(Sheet1!40:40,"AAAAAE7NnmI=",0)</f>
        <v>0</v>
      </c>
      <c r="CV5" t="e">
        <f>AND(Sheet1!#REF!,"AAAAAE7NnmM=")</f>
        <v>#REF!</v>
      </c>
      <c r="CW5" t="e">
        <f>AND(Sheet1!#REF!,"AAAAAE7NnmQ=")</f>
        <v>#REF!</v>
      </c>
      <c r="CX5" t="e">
        <f>AND(Sheet1!#REF!,"AAAAAE7NnmU=")</f>
        <v>#REF!</v>
      </c>
      <c r="CY5" t="e">
        <f>AND(Sheet1!#REF!,"AAAAAE7NnmY=")</f>
        <v>#REF!</v>
      </c>
      <c r="CZ5" t="e">
        <f>AND(Sheet1!#REF!,"AAAAAE7Nnmc=")</f>
        <v>#REF!</v>
      </c>
      <c r="DA5" t="e">
        <f>AND(Sheet1!#REF!,"AAAAAE7Nnmg=")</f>
        <v>#REF!</v>
      </c>
      <c r="DB5" t="e">
        <f>AND(Sheet1!#REF!,"AAAAAE7Nnmk=")</f>
        <v>#REF!</v>
      </c>
      <c r="DC5" t="e">
        <f>AND(Sheet1!#REF!,"AAAAAE7Nnmo=")</f>
        <v>#REF!</v>
      </c>
      <c r="DD5" t="e">
        <f>AND(Sheet1!#REF!,"AAAAAE7Nnms=")</f>
        <v>#REF!</v>
      </c>
      <c r="DE5" t="e">
        <f>AND(Sheet1!#REF!,"AAAAAE7Nnmw=")</f>
        <v>#REF!</v>
      </c>
      <c r="DF5" t="e">
        <f>AND(Sheet1!#REF!,"AAAAAE7Nnm0=")</f>
        <v>#REF!</v>
      </c>
      <c r="DG5" t="e">
        <f>AND(Sheet1!#REF!,"AAAAAE7Nnm4=")</f>
        <v>#REF!</v>
      </c>
      <c r="DH5" t="e">
        <f>AND(Sheet1!#REF!,"AAAAAE7Nnm8=")</f>
        <v>#REF!</v>
      </c>
      <c r="DI5" t="e">
        <f>AND(Sheet1!#REF!,"AAAAAE7NnnA=")</f>
        <v>#REF!</v>
      </c>
      <c r="DJ5" t="e">
        <f>AND(Sheet1!#REF!,"AAAAAE7NnnE=")</f>
        <v>#REF!</v>
      </c>
      <c r="DK5" t="e">
        <f>AND(Sheet1!#REF!,"AAAAAE7NnnI=")</f>
        <v>#REF!</v>
      </c>
      <c r="DL5" t="e">
        <f>AND(Sheet1!O40,"AAAAAE7NnnM=")</f>
        <v>#VALUE!</v>
      </c>
      <c r="DM5" t="e">
        <f>AND(Sheet1!Q40,"AAAAAE7NnnQ=")</f>
        <v>#VALUE!</v>
      </c>
      <c r="DN5" t="e">
        <f>AND(Sheet1!R40,"AAAAAE7NnnU=")</f>
        <v>#VALUE!</v>
      </c>
      <c r="DO5" t="e">
        <f>AND(Sheet1!S40,"AAAAAE7NnnY=")</f>
        <v>#VALUE!</v>
      </c>
      <c r="DP5" t="e">
        <f>AND(Sheet1!T40,"AAAAAE7Nnnc=")</f>
        <v>#VALUE!</v>
      </c>
      <c r="DQ5" t="e">
        <f>AND(Sheet1!#REF!,"AAAAAE7Nnng=")</f>
        <v>#REF!</v>
      </c>
      <c r="DR5" t="e">
        <f>AND(Sheet1!#REF!,"AAAAAE7Nnnk=")</f>
        <v>#REF!</v>
      </c>
      <c r="DS5" t="e">
        <f>AND(Sheet1!#REF!,"AAAAAE7Nnno=")</f>
        <v>#REF!</v>
      </c>
      <c r="DT5" t="e">
        <f>AND(Sheet1!#REF!,"AAAAAE7Nnns=")</f>
        <v>#REF!</v>
      </c>
      <c r="DU5" t="e">
        <f>AND(Sheet1!#REF!,"AAAAAE7Nnnw=")</f>
        <v>#REF!</v>
      </c>
      <c r="DV5" t="e">
        <f>AND(Sheet1!#REF!,"AAAAAE7Nnn0=")</f>
        <v>#REF!</v>
      </c>
      <c r="DW5" t="e">
        <f>AND(Sheet1!Y40,"AAAAAE7Nnn4=")</f>
        <v>#VALUE!</v>
      </c>
      <c r="DX5" t="e">
        <f>AND(Sheet1!Z40,"AAAAAE7Nnn8=")</f>
        <v>#VALUE!</v>
      </c>
      <c r="DY5" t="e">
        <f>AND(Sheet1!AA40,"AAAAAE7NnoA=")</f>
        <v>#VALUE!</v>
      </c>
      <c r="DZ5" t="e">
        <f>AND(Sheet1!AB40,"AAAAAE7NnoE=")</f>
        <v>#VALUE!</v>
      </c>
      <c r="EA5" t="e">
        <f>AND(Sheet1!AC40,"AAAAAE7NnoI=")</f>
        <v>#VALUE!</v>
      </c>
      <c r="EB5">
        <f>IF(Sheet1!41:41,"AAAAAE7NnoM=",0)</f>
        <v>0</v>
      </c>
      <c r="EC5" t="e">
        <f>AND(Sheet1!#REF!,"AAAAAE7NnoQ=")</f>
        <v>#REF!</v>
      </c>
      <c r="ED5" t="e">
        <f>AND(Sheet1!#REF!,"AAAAAE7NnoU=")</f>
        <v>#REF!</v>
      </c>
      <c r="EE5" t="e">
        <f>AND(Sheet1!#REF!,"AAAAAE7NnoY=")</f>
        <v>#REF!</v>
      </c>
      <c r="EF5" t="e">
        <f>AND(Sheet1!#REF!,"AAAAAE7Nnoc=")</f>
        <v>#REF!</v>
      </c>
      <c r="EG5" t="e">
        <f>AND(Sheet1!#REF!,"AAAAAE7Nnog=")</f>
        <v>#REF!</v>
      </c>
      <c r="EH5" t="e">
        <f>AND(Sheet1!#REF!,"AAAAAE7Nnok=")</f>
        <v>#REF!</v>
      </c>
      <c r="EI5" t="e">
        <f>AND(Sheet1!#REF!,"AAAAAE7Nnoo=")</f>
        <v>#REF!</v>
      </c>
      <c r="EJ5" t="e">
        <f>AND(Sheet1!#REF!,"AAAAAE7Nnos=")</f>
        <v>#REF!</v>
      </c>
      <c r="EK5" t="e">
        <f>AND(Sheet1!#REF!,"AAAAAE7Nnow=")</f>
        <v>#REF!</v>
      </c>
      <c r="EL5" t="e">
        <f>AND(Sheet1!#REF!,"AAAAAE7Nno0=")</f>
        <v>#REF!</v>
      </c>
      <c r="EM5" t="e">
        <f>AND(Sheet1!#REF!,"AAAAAE7Nno4=")</f>
        <v>#REF!</v>
      </c>
      <c r="EN5" t="e">
        <f>AND(Sheet1!#REF!,"AAAAAE7Nno8=")</f>
        <v>#REF!</v>
      </c>
      <c r="EO5" t="e">
        <f>AND(Sheet1!#REF!,"AAAAAE7NnpA=")</f>
        <v>#REF!</v>
      </c>
      <c r="EP5" t="e">
        <f>AND(Sheet1!#REF!,"AAAAAE7NnpE=")</f>
        <v>#REF!</v>
      </c>
      <c r="EQ5" t="e">
        <f>AND(Sheet1!#REF!,"AAAAAE7NnpI=")</f>
        <v>#REF!</v>
      </c>
      <c r="ER5" t="e">
        <f>AND(Sheet1!#REF!,"AAAAAE7NnpM=")</f>
        <v>#REF!</v>
      </c>
      <c r="ES5" t="e">
        <f>AND(Sheet1!O41,"AAAAAE7NnpQ=")</f>
        <v>#VALUE!</v>
      </c>
      <c r="ET5" t="e">
        <f>AND(Sheet1!Q41,"AAAAAE7NnpU=")</f>
        <v>#VALUE!</v>
      </c>
      <c r="EU5" t="e">
        <f>AND(Sheet1!R41,"AAAAAE7NnpY=")</f>
        <v>#VALUE!</v>
      </c>
      <c r="EV5" t="e">
        <f>AND(Sheet1!S41,"AAAAAE7Nnpc=")</f>
        <v>#VALUE!</v>
      </c>
      <c r="EW5" t="e">
        <f>AND(Sheet1!P46,"AAAAAE7Nnpg=")</f>
        <v>#VALUE!</v>
      </c>
      <c r="EX5" t="e">
        <f>AND(Sheet1!Q46,"AAAAAE7Nnpk=")</f>
        <v>#VALUE!</v>
      </c>
      <c r="EY5" t="e">
        <f>AND(Sheet1!R46,"AAAAAE7Nnpo=")</f>
        <v>#VALUE!</v>
      </c>
      <c r="EZ5" t="e">
        <f>AND(Sheet1!S46,"AAAAAE7Nnps=")</f>
        <v>#VALUE!</v>
      </c>
      <c r="FA5" t="e">
        <f>AND(Sheet1!T46,"AAAAAE7Nnpw=")</f>
        <v>#VALUE!</v>
      </c>
      <c r="FB5" t="e">
        <f>AND(Sheet1!U46,"AAAAAE7Nnp0=")</f>
        <v>#VALUE!</v>
      </c>
      <c r="FC5" t="e">
        <f>AND(Sheet1!V46,"AAAAAE7Nnp4=")</f>
        <v>#VALUE!</v>
      </c>
      <c r="FD5" t="e">
        <f>AND(Sheet1!#REF!,"AAAAAE7Nnp8=")</f>
        <v>#REF!</v>
      </c>
      <c r="FE5" t="e">
        <f>AND(Sheet1!Y46,"AAAAAE7NnqA=")</f>
        <v>#VALUE!</v>
      </c>
      <c r="FF5" t="e">
        <f>AND(Sheet1!Z46,"AAAAAE7NnqE=")</f>
        <v>#VALUE!</v>
      </c>
      <c r="FG5" t="e">
        <f>AND(Sheet1!AB46,"AAAAAE7NnqI=")</f>
        <v>#VALUE!</v>
      </c>
      <c r="FH5" t="e">
        <f>AND(Sheet1!AC41,"AAAAAE7NnqM=")</f>
        <v>#VALUE!</v>
      </c>
      <c r="FI5">
        <f>IF(Sheet1!42:42,"AAAAAE7NnqQ=",0)</f>
        <v>0</v>
      </c>
      <c r="FJ5" t="e">
        <f>AND(Sheet1!A40,"AAAAAE7NnqU=")</f>
        <v>#VALUE!</v>
      </c>
      <c r="FK5" t="e">
        <f>AND(Sheet1!B40,"AAAAAE7NnqY=")</f>
        <v>#VALUE!</v>
      </c>
      <c r="FL5" t="e">
        <f>AND(Sheet1!C40,"AAAAAE7Nnqc=")</f>
        <v>#VALUE!</v>
      </c>
      <c r="FM5" t="e">
        <f>AND(Sheet1!D40,"AAAAAE7Nnqg=")</f>
        <v>#VALUE!</v>
      </c>
      <c r="FN5" t="e">
        <f>AND(Sheet1!E40,"AAAAAE7Nnqk=")</f>
        <v>#VALUE!</v>
      </c>
      <c r="FO5" t="e">
        <f>AND(Sheet1!F40,"AAAAAE7Nnqo=")</f>
        <v>#VALUE!</v>
      </c>
      <c r="FP5" t="e">
        <f>AND(Sheet1!G40,"AAAAAE7Nnqs=")</f>
        <v>#VALUE!</v>
      </c>
      <c r="FQ5" t="e">
        <f>AND(Sheet1!H40,"AAAAAE7Nnqw=")</f>
        <v>#VALUE!</v>
      </c>
      <c r="FR5" t="e">
        <f>AND(Sheet1!I40,"AAAAAE7Nnq0=")</f>
        <v>#VALUE!</v>
      </c>
      <c r="FS5" t="e">
        <f>AND(Sheet1!J40,"AAAAAE7Nnq4=")</f>
        <v>#VALUE!</v>
      </c>
      <c r="FT5" t="e">
        <f>AND(Sheet1!K40,"AAAAAE7Nnq8=")</f>
        <v>#VALUE!</v>
      </c>
      <c r="FU5" t="e">
        <f>AND(Sheet1!L40,"AAAAAE7NnrA=")</f>
        <v>#VALUE!</v>
      </c>
      <c r="FV5" t="e">
        <f>AND(Sheet1!M40,"AAAAAE7NnrE=")</f>
        <v>#VALUE!</v>
      </c>
      <c r="FW5" t="e">
        <f>AND(Sheet1!N40,"AAAAAE7NnrI=")</f>
        <v>#VALUE!</v>
      </c>
      <c r="FX5" t="e">
        <f>AND(Sheet1!#REF!,"AAAAAE7NnrM=")</f>
        <v>#REF!</v>
      </c>
      <c r="FY5" t="e">
        <f>AND(Sheet1!#REF!,"AAAAAE7NnrQ=")</f>
        <v>#REF!</v>
      </c>
      <c r="FZ5" t="e">
        <f>AND(Sheet1!O42,"AAAAAE7NnrU=")</f>
        <v>#VALUE!</v>
      </c>
      <c r="GA5" t="e">
        <f>AND(Sheet1!Q42,"AAAAAE7NnrY=")</f>
        <v>#VALUE!</v>
      </c>
      <c r="GB5" t="e">
        <f>AND(Sheet1!R42,"AAAAAE7Nnrc=")</f>
        <v>#VALUE!</v>
      </c>
      <c r="GC5" t="e">
        <f>AND(Sheet1!S42,"AAAAAE7Nnrg=")</f>
        <v>#VALUE!</v>
      </c>
      <c r="GD5" t="e">
        <f>AND(Sheet1!#REF!,"AAAAAE7Nnrk=")</f>
        <v>#REF!</v>
      </c>
      <c r="GE5" t="e">
        <f>AND(Sheet1!#REF!,"AAAAAE7Nnro=")</f>
        <v>#REF!</v>
      </c>
      <c r="GF5" t="e">
        <f>AND(Sheet1!#REF!,"AAAAAE7Nnrs=")</f>
        <v>#REF!</v>
      </c>
      <c r="GG5" t="e">
        <f>AND(Sheet1!S47,"AAAAAE7Nnrw=")</f>
        <v>#VALUE!</v>
      </c>
      <c r="GH5" t="e">
        <f>AND(Sheet1!T47,"AAAAAE7Nnr0=")</f>
        <v>#VALUE!</v>
      </c>
      <c r="GI5" t="e">
        <f>AND(Sheet1!U47,"AAAAAE7Nnr4=")</f>
        <v>#VALUE!</v>
      </c>
      <c r="GJ5" t="e">
        <f>AND(Sheet1!V47,"AAAAAE7Nnr8=")</f>
        <v>#VALUE!</v>
      </c>
      <c r="GK5" t="e">
        <f>AND(Sheet1!#REF!,"AAAAAE7NnsA=")</f>
        <v>#REF!</v>
      </c>
      <c r="GL5" t="e">
        <f>AND(Sheet1!Y47,"AAAAAE7NnsE=")</f>
        <v>#VALUE!</v>
      </c>
      <c r="GM5" t="e">
        <f>AND(Sheet1!Z47,"AAAAAE7NnsI=")</f>
        <v>#VALUE!</v>
      </c>
      <c r="GN5" t="e">
        <f>AND(Sheet1!AB47,"AAAAAE7NnsM=")</f>
        <v>#VALUE!</v>
      </c>
      <c r="GO5" t="e">
        <f>AND(Sheet1!AC42,"AAAAAE7NnsQ=")</f>
        <v>#VALUE!</v>
      </c>
      <c r="GP5">
        <f>IF(Sheet1!43:43,"AAAAAE7NnsU=",0)</f>
        <v>0</v>
      </c>
      <c r="GQ5" t="e">
        <f>AND(Sheet1!A41,"AAAAAE7NnsY=")</f>
        <v>#VALUE!</v>
      </c>
      <c r="GR5" t="e">
        <f>AND(Sheet1!B41,"AAAAAE7Nnsc=")</f>
        <v>#VALUE!</v>
      </c>
      <c r="GS5" t="e">
        <f>AND(Sheet1!C41,"AAAAAE7Nnsg=")</f>
        <v>#VALUE!</v>
      </c>
      <c r="GT5" t="e">
        <f>AND(Sheet1!D41,"AAAAAE7Nnsk=")</f>
        <v>#VALUE!</v>
      </c>
      <c r="GU5" t="e">
        <f>AND(Sheet1!E41,"AAAAAE7Nnso=")</f>
        <v>#VALUE!</v>
      </c>
      <c r="GV5" t="e">
        <f>AND(Sheet1!F41,"AAAAAE7Nnss=")</f>
        <v>#VALUE!</v>
      </c>
      <c r="GW5" t="e">
        <f>AND(Sheet1!G41,"AAAAAE7Nnsw=")</f>
        <v>#VALUE!</v>
      </c>
      <c r="GX5" t="e">
        <f>AND(Sheet1!H41,"AAAAAE7Nns0=")</f>
        <v>#VALUE!</v>
      </c>
      <c r="GY5" t="e">
        <f>AND(Sheet1!I41,"AAAAAE7Nns4=")</f>
        <v>#VALUE!</v>
      </c>
      <c r="GZ5" t="e">
        <f>AND(Sheet1!J41,"AAAAAE7Nns8=")</f>
        <v>#VALUE!</v>
      </c>
      <c r="HA5" t="e">
        <f>AND(Sheet1!K41,"AAAAAE7NntA=")</f>
        <v>#VALUE!</v>
      </c>
      <c r="HB5" t="e">
        <f>AND(Sheet1!L41,"AAAAAE7NntE=")</f>
        <v>#VALUE!</v>
      </c>
      <c r="HC5" t="e">
        <f>AND(Sheet1!M41,"AAAAAE7NntI=")</f>
        <v>#VALUE!</v>
      </c>
      <c r="HD5" t="e">
        <f>AND(Sheet1!N41,"AAAAAE7NntM=")</f>
        <v>#VALUE!</v>
      </c>
      <c r="HE5" t="e">
        <f>AND(Sheet1!#REF!,"AAAAAE7NntQ=")</f>
        <v>#REF!</v>
      </c>
      <c r="HF5" t="e">
        <f>AND(Sheet1!#REF!,"AAAAAE7NntU=")</f>
        <v>#REF!</v>
      </c>
      <c r="HG5" t="e">
        <f>AND(Sheet1!O43,"AAAAAE7NntY=")</f>
        <v>#VALUE!</v>
      </c>
      <c r="HH5" t="e">
        <f>AND(Sheet1!Q43,"AAAAAE7Nntc=")</f>
        <v>#VALUE!</v>
      </c>
      <c r="HI5" t="e">
        <f>AND(Sheet1!R43,"AAAAAE7Nntg=")</f>
        <v>#VALUE!</v>
      </c>
      <c r="HJ5" t="e">
        <f>AND(Sheet1!S43,"AAAAAE7Nntk=")</f>
        <v>#VALUE!</v>
      </c>
      <c r="HK5" t="e">
        <f>AND(Sheet1!T43,"AAAAAE7Nnto=")</f>
        <v>#VALUE!</v>
      </c>
      <c r="HL5" t="e">
        <f>AND(Sheet1!U43,"AAAAAE7Nnts=")</f>
        <v>#VALUE!</v>
      </c>
      <c r="HM5" t="e">
        <f>AND(Sheet1!V43,"AAAAAE7Nntw=")</f>
        <v>#VALUE!</v>
      </c>
      <c r="HN5" t="e">
        <f>AND(Sheet1!W43,"AAAAAE7Nnt0=")</f>
        <v>#VALUE!</v>
      </c>
      <c r="HO5" t="e">
        <f>AND(Sheet1!X43,"AAAAAE7Nnt4=")</f>
        <v>#VALUE!</v>
      </c>
      <c r="HP5" t="e">
        <f>AND(Sheet1!#REF!,"AAAAAE7Nnt8=")</f>
        <v>#REF!</v>
      </c>
      <c r="HQ5" t="e">
        <f>AND(Sheet1!#REF!,"AAAAAE7NnuA=")</f>
        <v>#REF!</v>
      </c>
      <c r="HR5" t="e">
        <f>AND(Sheet1!Y43,"AAAAAE7NnuE=")</f>
        <v>#VALUE!</v>
      </c>
      <c r="HS5" t="e">
        <f>AND(Sheet1!Z43,"AAAAAE7NnuI=")</f>
        <v>#VALUE!</v>
      </c>
      <c r="HT5" t="e">
        <f>AND(Sheet1!AA43,"AAAAAE7NnuM=")</f>
        <v>#VALUE!</v>
      </c>
      <c r="HU5" t="e">
        <f>AND(Sheet1!AB43,"AAAAAE7NnuQ=")</f>
        <v>#VALUE!</v>
      </c>
      <c r="HV5" t="e">
        <f>AND(Sheet1!AC43,"AAAAAE7NnuU=")</f>
        <v>#VALUE!</v>
      </c>
      <c r="HW5">
        <f>IF(Sheet1!44:44,"AAAAAE7NnuY=",0)</f>
        <v>0</v>
      </c>
      <c r="HX5" t="e">
        <f>AND(Sheet1!A42,"AAAAAE7Nnuc=")</f>
        <v>#VALUE!</v>
      </c>
      <c r="HY5" t="e">
        <f>AND(Sheet1!B42,"AAAAAE7Nnug=")</f>
        <v>#VALUE!</v>
      </c>
      <c r="HZ5" t="e">
        <f>AND(Sheet1!C42,"AAAAAE7Nnuk=")</f>
        <v>#VALUE!</v>
      </c>
      <c r="IA5" t="e">
        <f>AND(Sheet1!D42,"AAAAAE7Nnuo=")</f>
        <v>#VALUE!</v>
      </c>
      <c r="IB5" t="e">
        <f>AND(Sheet1!E42,"AAAAAE7Nnus=")</f>
        <v>#VALUE!</v>
      </c>
      <c r="IC5" t="e">
        <f>AND(Sheet1!F42,"AAAAAE7Nnuw=")</f>
        <v>#VALUE!</v>
      </c>
      <c r="ID5" t="e">
        <f>AND(Sheet1!G42,"AAAAAE7Nnu0=")</f>
        <v>#VALUE!</v>
      </c>
      <c r="IE5" t="e">
        <f>AND(Sheet1!H42,"AAAAAE7Nnu4=")</f>
        <v>#VALUE!</v>
      </c>
      <c r="IF5" t="e">
        <f>AND(Sheet1!#REF!,"AAAAAE7Nnu8=")</f>
        <v>#REF!</v>
      </c>
      <c r="IG5" t="e">
        <f>AND(Sheet1!J42,"AAAAAE7NnvA=")</f>
        <v>#VALUE!</v>
      </c>
      <c r="IH5" t="e">
        <f>AND(Sheet1!K42,"AAAAAE7NnvE=")</f>
        <v>#VALUE!</v>
      </c>
      <c r="II5" t="e">
        <f>AND(Sheet1!L42,"AAAAAE7NnvI=")</f>
        <v>#VALUE!</v>
      </c>
      <c r="IJ5" t="e">
        <f>AND(Sheet1!M42,"AAAAAE7NnvM=")</f>
        <v>#VALUE!</v>
      </c>
      <c r="IK5" t="e">
        <f>AND(Sheet1!N42,"AAAAAE7NnvQ=")</f>
        <v>#VALUE!</v>
      </c>
      <c r="IL5" t="e">
        <f>AND(Sheet1!#REF!,"AAAAAE7NnvU=")</f>
        <v>#REF!</v>
      </c>
      <c r="IM5" t="e">
        <f>AND(Sheet1!#REF!,"AAAAAE7NnvY=")</f>
        <v>#REF!</v>
      </c>
      <c r="IN5" t="e">
        <f>AND(Sheet1!O44,"AAAAAE7Nnvc=")</f>
        <v>#VALUE!</v>
      </c>
      <c r="IO5" t="e">
        <f>AND(Sheet1!Q44,"AAAAAE7Nnvg=")</f>
        <v>#VALUE!</v>
      </c>
      <c r="IP5" t="e">
        <f>AND(Sheet1!R44,"AAAAAE7Nnvk=")</f>
        <v>#VALUE!</v>
      </c>
      <c r="IQ5" t="e">
        <f>AND(Sheet1!S44,"AAAAAE7Nnvo=")</f>
        <v>#VALUE!</v>
      </c>
      <c r="IR5" t="e">
        <f>AND(Sheet1!T44,"AAAAAE7Nnvs=")</f>
        <v>#VALUE!</v>
      </c>
      <c r="IS5" t="e">
        <f>AND(Sheet1!U44,"AAAAAE7Nnvw=")</f>
        <v>#VALUE!</v>
      </c>
      <c r="IT5" t="e">
        <f>AND(Sheet1!V44,"AAAAAE7Nnv0=")</f>
        <v>#VALUE!</v>
      </c>
      <c r="IU5" t="e">
        <f>AND(Sheet1!W44,"AAAAAE7Nnv4=")</f>
        <v>#VALUE!</v>
      </c>
      <c r="IV5" t="e">
        <f>AND(Sheet1!X44,"AAAAAE7Nnv8=")</f>
        <v>#VALUE!</v>
      </c>
    </row>
    <row r="6" spans="1:256" x14ac:dyDescent="0.25">
      <c r="A6" t="e">
        <f>AND(Sheet1!#REF!,"AAAAAHXv+wA=")</f>
        <v>#REF!</v>
      </c>
      <c r="B6" t="e">
        <f>AND(Sheet1!#REF!,"AAAAAHXv+wE=")</f>
        <v>#REF!</v>
      </c>
      <c r="C6" t="e">
        <f>AND(Sheet1!Y44,"AAAAAHXv+wI=")</f>
        <v>#VALUE!</v>
      </c>
      <c r="D6" t="e">
        <f>AND(Sheet1!Z44,"AAAAAHXv+wM=")</f>
        <v>#VALUE!</v>
      </c>
      <c r="E6" t="e">
        <f>AND(Sheet1!AA44,"AAAAAHXv+wQ=")</f>
        <v>#VALUE!</v>
      </c>
      <c r="F6" t="e">
        <f>AND(Sheet1!AB44,"AAAAAHXv+wU=")</f>
        <v>#VALUE!</v>
      </c>
      <c r="G6" t="e">
        <f>AND(Sheet1!AC44,"AAAAAHXv+wY=")</f>
        <v>#VALUE!</v>
      </c>
      <c r="H6">
        <f>IF(Sheet1!45:45,"AAAAAHXv+wc=",0)</f>
        <v>0</v>
      </c>
      <c r="I6" t="e">
        <f>AND(Sheet1!A43,"AAAAAHXv+wg=")</f>
        <v>#VALUE!</v>
      </c>
      <c r="J6" t="e">
        <f>AND(Sheet1!B43,"AAAAAHXv+wk=")</f>
        <v>#VALUE!</v>
      </c>
      <c r="K6" t="e">
        <f>AND(Sheet1!C43,"AAAAAHXv+wo=")</f>
        <v>#VALUE!</v>
      </c>
      <c r="L6" t="e">
        <f>AND(Sheet1!D43,"AAAAAHXv+ws=")</f>
        <v>#VALUE!</v>
      </c>
      <c r="M6" t="e">
        <f>AND(Sheet1!E43,"AAAAAHXv+ww=")</f>
        <v>#VALUE!</v>
      </c>
      <c r="N6" t="e">
        <f>AND(Sheet1!F43,"AAAAAHXv+w0=")</f>
        <v>#VALUE!</v>
      </c>
      <c r="O6" t="e">
        <f>AND(Sheet1!G43,"AAAAAHXv+w4=")</f>
        <v>#VALUE!</v>
      </c>
      <c r="P6" t="e">
        <f>AND(Sheet1!H43,"AAAAAHXv+w8=")</f>
        <v>#VALUE!</v>
      </c>
      <c r="Q6" t="e">
        <f>AND(Sheet1!I42,"AAAAAHXv+xA=")</f>
        <v>#VALUE!</v>
      </c>
      <c r="R6" t="e">
        <f>AND(Sheet1!J43,"AAAAAHXv+xE=")</f>
        <v>#VALUE!</v>
      </c>
      <c r="S6" t="e">
        <f>AND(Sheet1!K43,"AAAAAHXv+xI=")</f>
        <v>#VALUE!</v>
      </c>
      <c r="T6" t="e">
        <f>AND(Sheet1!L43,"AAAAAHXv+xM=")</f>
        <v>#VALUE!</v>
      </c>
      <c r="U6" t="e">
        <f>AND(Sheet1!M43,"AAAAAHXv+xQ=")</f>
        <v>#VALUE!</v>
      </c>
      <c r="V6" t="e">
        <f>AND(Sheet1!N43,"AAAAAHXv+xU=")</f>
        <v>#VALUE!</v>
      </c>
      <c r="W6" t="e">
        <f>AND(Sheet1!#REF!,"AAAAAHXv+xY=")</f>
        <v>#REF!</v>
      </c>
      <c r="X6" t="e">
        <f>AND(Sheet1!#REF!,"AAAAAHXv+xc=")</f>
        <v>#REF!</v>
      </c>
      <c r="Y6" t="e">
        <f>AND(Sheet1!O45,"AAAAAHXv+xg=")</f>
        <v>#VALUE!</v>
      </c>
      <c r="Z6" t="e">
        <f>AND(Sheet1!Q45,"AAAAAHXv+xk=")</f>
        <v>#VALUE!</v>
      </c>
      <c r="AA6" t="e">
        <f>AND(Sheet1!R45,"AAAAAHXv+xo=")</f>
        <v>#VALUE!</v>
      </c>
      <c r="AB6" t="e">
        <f>AND(Sheet1!S45,"AAAAAHXv+xs=")</f>
        <v>#VALUE!</v>
      </c>
      <c r="AC6" t="e">
        <f>AND(Sheet1!T45,"AAAAAHXv+xw=")</f>
        <v>#VALUE!</v>
      </c>
      <c r="AD6" t="e">
        <f>AND(Sheet1!U45,"AAAAAHXv+x0=")</f>
        <v>#VALUE!</v>
      </c>
      <c r="AE6" t="e">
        <f>AND(Sheet1!V45,"AAAAAHXv+x4=")</f>
        <v>#VALUE!</v>
      </c>
      <c r="AF6" t="e">
        <f>AND(Sheet1!W45,"AAAAAHXv+x8=")</f>
        <v>#VALUE!</v>
      </c>
      <c r="AG6" t="e">
        <f>AND(Sheet1!X45,"AAAAAHXv+yA=")</f>
        <v>#VALUE!</v>
      </c>
      <c r="AH6" t="e">
        <f>AND(Sheet1!#REF!,"AAAAAHXv+yE=")</f>
        <v>#REF!</v>
      </c>
      <c r="AI6" t="e">
        <f>AND(Sheet1!#REF!,"AAAAAHXv+yI=")</f>
        <v>#REF!</v>
      </c>
      <c r="AJ6" t="e">
        <f>AND(Sheet1!Y45,"AAAAAHXv+yM=")</f>
        <v>#VALUE!</v>
      </c>
      <c r="AK6" t="e">
        <f>AND(Sheet1!Z45,"AAAAAHXv+yQ=")</f>
        <v>#VALUE!</v>
      </c>
      <c r="AL6" t="e">
        <f>AND(Sheet1!AA45,"AAAAAHXv+yU=")</f>
        <v>#VALUE!</v>
      </c>
      <c r="AM6" t="e">
        <f>AND(Sheet1!AB45,"AAAAAHXv+yY=")</f>
        <v>#VALUE!</v>
      </c>
      <c r="AN6" t="e">
        <f>AND(Sheet1!AC45,"AAAAAHXv+yc=")</f>
        <v>#VALUE!</v>
      </c>
      <c r="AO6">
        <f>IF(Sheet1!46:46,"AAAAAHXv+yg=",0)</f>
        <v>0</v>
      </c>
      <c r="AP6" t="e">
        <f>AND(Sheet1!A44,"AAAAAHXv+yk=")</f>
        <v>#VALUE!</v>
      </c>
      <c r="AQ6" t="e">
        <f>AND(Sheet1!B44,"AAAAAHXv+yo=")</f>
        <v>#VALUE!</v>
      </c>
      <c r="AR6" t="e">
        <f>AND(Sheet1!C44,"AAAAAHXv+ys=")</f>
        <v>#VALUE!</v>
      </c>
      <c r="AS6" t="e">
        <f>AND(Sheet1!D44,"AAAAAHXv+yw=")</f>
        <v>#VALUE!</v>
      </c>
      <c r="AT6" t="e">
        <f>AND(Sheet1!E44,"AAAAAHXv+y0=")</f>
        <v>#VALUE!</v>
      </c>
      <c r="AU6" t="e">
        <f>AND(Sheet1!F44,"AAAAAHXv+y4=")</f>
        <v>#VALUE!</v>
      </c>
      <c r="AV6" t="e">
        <f>AND(Sheet1!G44,"AAAAAHXv+y8=")</f>
        <v>#VALUE!</v>
      </c>
      <c r="AW6" t="e">
        <f>AND(Sheet1!H44,"AAAAAHXv+zA=")</f>
        <v>#VALUE!</v>
      </c>
      <c r="AX6" t="e">
        <f>AND(Sheet1!I44,"AAAAAHXv+zE=")</f>
        <v>#VALUE!</v>
      </c>
      <c r="AY6" t="e">
        <f>AND(Sheet1!#REF!,"AAAAAHXv+zI=")</f>
        <v>#REF!</v>
      </c>
      <c r="AZ6" t="e">
        <f>AND(Sheet1!K44,"AAAAAHXv+zM=")</f>
        <v>#VALUE!</v>
      </c>
      <c r="BA6" t="e">
        <f>AND(Sheet1!L44,"AAAAAHXv+zQ=")</f>
        <v>#VALUE!</v>
      </c>
      <c r="BB6" t="e">
        <f>AND(Sheet1!M44,"AAAAAHXv+zU=")</f>
        <v>#VALUE!</v>
      </c>
      <c r="BC6" t="e">
        <f>AND(Sheet1!N44,"AAAAAHXv+zY=")</f>
        <v>#VALUE!</v>
      </c>
      <c r="BD6" t="e">
        <f>AND(Sheet1!#REF!,"AAAAAHXv+zc=")</f>
        <v>#REF!</v>
      </c>
      <c r="BE6" t="e">
        <f>AND(Sheet1!#REF!,"AAAAAHXv+zg=")</f>
        <v>#REF!</v>
      </c>
      <c r="BF6" t="e">
        <f>AND(Sheet1!O46,"AAAAAHXv+zk=")</f>
        <v>#VALUE!</v>
      </c>
      <c r="BG6" t="e">
        <f>AND(Sheet1!#REF!,"AAAAAHXv+zo=")</f>
        <v>#REF!</v>
      </c>
      <c r="BH6" t="e">
        <f>AND(Sheet1!#REF!,"AAAAAHXv+zs=")</f>
        <v>#REF!</v>
      </c>
      <c r="BI6" t="e">
        <f>AND(Sheet1!#REF!,"AAAAAHXv+zw=")</f>
        <v>#REF!</v>
      </c>
      <c r="BJ6" t="e">
        <f>AND(Sheet1!#REF!,"AAAAAHXv+z0=")</f>
        <v>#REF!</v>
      </c>
      <c r="BK6" t="e">
        <f>AND(Sheet1!#REF!,"AAAAAHXv+z4=")</f>
        <v>#REF!</v>
      </c>
      <c r="BL6" t="e">
        <f>AND(Sheet1!#REF!,"AAAAAHXv+z8=")</f>
        <v>#REF!</v>
      </c>
      <c r="BM6" t="e">
        <f>AND(Sheet1!#REF!,"AAAAAHXv+0A=")</f>
        <v>#REF!</v>
      </c>
      <c r="BN6" t="e">
        <f>AND(Sheet1!#REF!,"AAAAAHXv+0E=")</f>
        <v>#REF!</v>
      </c>
      <c r="BO6" t="e">
        <f>AND(Sheet1!#REF!,"AAAAAHXv+0I=")</f>
        <v>#REF!</v>
      </c>
      <c r="BP6" t="e">
        <f>AND(Sheet1!#REF!,"AAAAAHXv+0M=")</f>
        <v>#REF!</v>
      </c>
      <c r="BQ6" t="e">
        <f>AND(Sheet1!#REF!,"AAAAAHXv+0Q=")</f>
        <v>#REF!</v>
      </c>
      <c r="BR6" t="e">
        <f>AND(Sheet1!#REF!,"AAAAAHXv+0U=")</f>
        <v>#REF!</v>
      </c>
      <c r="BS6" t="e">
        <f>AND(Sheet1!#REF!,"AAAAAHXv+0Y=")</f>
        <v>#REF!</v>
      </c>
      <c r="BT6" t="e">
        <f>AND(Sheet1!#REF!,"AAAAAHXv+0c=")</f>
        <v>#REF!</v>
      </c>
      <c r="BU6" t="e">
        <f>AND(Sheet1!AC46,"AAAAAHXv+0g=")</f>
        <v>#VALUE!</v>
      </c>
      <c r="BV6">
        <f>IF(Sheet1!47:47,"AAAAAHXv+0k=",0)</f>
        <v>0</v>
      </c>
      <c r="BW6" t="e">
        <f>AND(Sheet1!A45,"AAAAAHXv+0o=")</f>
        <v>#VALUE!</v>
      </c>
      <c r="BX6" t="e">
        <f>AND(Sheet1!B45,"AAAAAHXv+0s=")</f>
        <v>#VALUE!</v>
      </c>
      <c r="BY6" t="e">
        <f>AND(Sheet1!C45,"AAAAAHXv+0w=")</f>
        <v>#VALUE!</v>
      </c>
      <c r="BZ6" t="e">
        <f>AND(Sheet1!D45,"AAAAAHXv+00=")</f>
        <v>#VALUE!</v>
      </c>
      <c r="CA6" t="e">
        <f>AND(Sheet1!E45,"AAAAAHXv+04=")</f>
        <v>#VALUE!</v>
      </c>
      <c r="CB6" t="e">
        <f>AND(Sheet1!F45,"AAAAAHXv+08=")</f>
        <v>#VALUE!</v>
      </c>
      <c r="CC6" t="e">
        <f>AND(Sheet1!G45,"AAAAAHXv+1A=")</f>
        <v>#VALUE!</v>
      </c>
      <c r="CD6" t="e">
        <f>AND(Sheet1!H45,"AAAAAHXv+1E=")</f>
        <v>#VALUE!</v>
      </c>
      <c r="CE6" t="e">
        <f>AND(Sheet1!I45,"AAAAAHXv+1I=")</f>
        <v>#VALUE!</v>
      </c>
      <c r="CF6" t="e">
        <f>AND(Sheet1!J44,"AAAAAHXv+1M=")</f>
        <v>#VALUE!</v>
      </c>
      <c r="CG6" t="e">
        <f>AND(Sheet1!K45,"AAAAAHXv+1Q=")</f>
        <v>#VALUE!</v>
      </c>
      <c r="CH6" t="e">
        <f>AND(Sheet1!L45,"AAAAAHXv+1U=")</f>
        <v>#VALUE!</v>
      </c>
      <c r="CI6" t="e">
        <f>AND(Sheet1!M45,"AAAAAHXv+1Y=")</f>
        <v>#VALUE!</v>
      </c>
      <c r="CJ6" t="e">
        <f>AND(Sheet1!N45,"AAAAAHXv+1c=")</f>
        <v>#VALUE!</v>
      </c>
      <c r="CK6" t="e">
        <f>AND(Sheet1!#REF!,"AAAAAHXv+1g=")</f>
        <v>#REF!</v>
      </c>
      <c r="CL6" t="e">
        <f>AND(Sheet1!#REF!,"AAAAAHXv+1k=")</f>
        <v>#REF!</v>
      </c>
      <c r="CM6" t="e">
        <f>AND(Sheet1!O47,"AAAAAHXv+1o=")</f>
        <v>#VALUE!</v>
      </c>
      <c r="CN6" t="e">
        <f>AND(Sheet1!Q47,"AAAAAHXv+1s=")</f>
        <v>#VALUE!</v>
      </c>
      <c r="CO6" t="e">
        <f>AND(Sheet1!R47,"AAAAAHXv+1w=")</f>
        <v>#VALUE!</v>
      </c>
      <c r="CP6" t="e">
        <f>AND(Sheet1!#REF!,"AAAAAHXv+10=")</f>
        <v>#REF!</v>
      </c>
      <c r="CQ6" t="e">
        <f>AND(Sheet1!#REF!,"AAAAAHXv+14=")</f>
        <v>#REF!</v>
      </c>
      <c r="CR6" t="e">
        <f>AND(Sheet1!#REF!,"AAAAAHXv+18=")</f>
        <v>#REF!</v>
      </c>
      <c r="CS6" t="e">
        <f>AND(Sheet1!#REF!,"AAAAAHXv+2A=")</f>
        <v>#REF!</v>
      </c>
      <c r="CT6" t="e">
        <f>AND(Sheet1!#REF!,"AAAAAHXv+2E=")</f>
        <v>#REF!</v>
      </c>
      <c r="CU6" t="e">
        <f>AND(Sheet1!#REF!,"AAAAAHXv+2I=")</f>
        <v>#REF!</v>
      </c>
      <c r="CV6" t="e">
        <f>AND(Sheet1!#REF!,"AAAAAHXv+2M=")</f>
        <v>#REF!</v>
      </c>
      <c r="CW6" t="e">
        <f>AND(Sheet1!#REF!,"AAAAAHXv+2Q=")</f>
        <v>#REF!</v>
      </c>
      <c r="CX6" t="e">
        <f>AND(Sheet1!#REF!,"AAAAAHXv+2U=")</f>
        <v>#REF!</v>
      </c>
      <c r="CY6" t="e">
        <f>AND(Sheet1!#REF!,"AAAAAHXv+2Y=")</f>
        <v>#REF!</v>
      </c>
      <c r="CZ6" t="e">
        <f>AND(Sheet1!#REF!,"AAAAAHXv+2c=")</f>
        <v>#REF!</v>
      </c>
      <c r="DA6" t="e">
        <f>AND(Sheet1!#REF!,"AAAAAHXv+2g=")</f>
        <v>#REF!</v>
      </c>
      <c r="DB6" t="e">
        <f>AND(Sheet1!AC47,"AAAAAHXv+2k=")</f>
        <v>#VALUE!</v>
      </c>
      <c r="DC6">
        <f>IF(Sheet1!48:48,"AAAAAHXv+2o=",0)</f>
        <v>0</v>
      </c>
      <c r="DD6" t="e">
        <f>AND(Sheet1!A46,"AAAAAHXv+2s=")</f>
        <v>#VALUE!</v>
      </c>
      <c r="DE6" t="e">
        <f>AND(Sheet1!B46,"AAAAAHXv+2w=")</f>
        <v>#VALUE!</v>
      </c>
      <c r="DF6" t="e">
        <f>AND(Sheet1!C46,"AAAAAHXv+20=")</f>
        <v>#VALUE!</v>
      </c>
      <c r="DG6" t="e">
        <f>AND(Sheet1!D46,"AAAAAHXv+24=")</f>
        <v>#VALUE!</v>
      </c>
      <c r="DH6" t="e">
        <f>AND(Sheet1!E46,"AAAAAHXv+28=")</f>
        <v>#VALUE!</v>
      </c>
      <c r="DI6" t="e">
        <f>AND(Sheet1!F46,"AAAAAHXv+3A=")</f>
        <v>#VALUE!</v>
      </c>
      <c r="DJ6" t="e">
        <f>AND(Sheet1!G46,"AAAAAHXv+3E=")</f>
        <v>#VALUE!</v>
      </c>
      <c r="DK6" t="e">
        <f>AND(Sheet1!H46,"AAAAAHXv+3I=")</f>
        <v>#VALUE!</v>
      </c>
      <c r="DL6" t="e">
        <f>AND(Sheet1!I46,"AAAAAHXv+3M=")</f>
        <v>#VALUE!</v>
      </c>
      <c r="DM6" t="e">
        <f>AND(Sheet1!J46,"AAAAAHXv+3Q=")</f>
        <v>#VALUE!</v>
      </c>
      <c r="DN6" t="e">
        <f>AND(Sheet1!K46,"AAAAAHXv+3U=")</f>
        <v>#VALUE!</v>
      </c>
      <c r="DO6" t="e">
        <f>AND(Sheet1!L46,"AAAAAHXv+3Y=")</f>
        <v>#VALUE!</v>
      </c>
      <c r="DP6" t="e">
        <f>AND(Sheet1!M46,"AAAAAHXv+3c=")</f>
        <v>#VALUE!</v>
      </c>
      <c r="DQ6" t="e">
        <f>AND(Sheet1!N46,"AAAAAHXv+3g=")</f>
        <v>#VALUE!</v>
      </c>
      <c r="DR6" t="e">
        <f>AND(Sheet1!#REF!,"AAAAAHXv+3k=")</f>
        <v>#REF!</v>
      </c>
      <c r="DS6" t="e">
        <f>AND(Sheet1!#REF!,"AAAAAHXv+3o=")</f>
        <v>#REF!</v>
      </c>
      <c r="DT6" t="e">
        <f>AND(Sheet1!O48,"AAAAAHXv+3s=")</f>
        <v>#VALUE!</v>
      </c>
      <c r="DU6" t="e">
        <f>AND(Sheet1!Q48,"AAAAAHXv+3w=")</f>
        <v>#VALUE!</v>
      </c>
      <c r="DV6" t="e">
        <f>AND(Sheet1!R48,"AAAAAHXv+30=")</f>
        <v>#VALUE!</v>
      </c>
      <c r="DW6" t="e">
        <f>AND(Sheet1!S48,"AAAAAHXv+34=")</f>
        <v>#VALUE!</v>
      </c>
      <c r="DX6" t="e">
        <f>AND(Sheet1!T48,"AAAAAHXv+38=")</f>
        <v>#VALUE!</v>
      </c>
      <c r="DY6" t="e">
        <f>AND(Sheet1!U48,"AAAAAHXv+4A=")</f>
        <v>#VALUE!</v>
      </c>
      <c r="DZ6" t="e">
        <f>AND(Sheet1!V48,"AAAAAHXv+4E=")</f>
        <v>#VALUE!</v>
      </c>
      <c r="EA6" t="e">
        <f>AND(Sheet1!W48,"AAAAAHXv+4I=")</f>
        <v>#VALUE!</v>
      </c>
      <c r="EB6" t="e">
        <f>AND(Sheet1!X48,"AAAAAHXv+4M=")</f>
        <v>#VALUE!</v>
      </c>
      <c r="EC6" t="e">
        <f>AND(Sheet1!#REF!,"AAAAAHXv+4Q=")</f>
        <v>#REF!</v>
      </c>
      <c r="ED6" t="e">
        <f>AND(Sheet1!#REF!,"AAAAAHXv+4U=")</f>
        <v>#REF!</v>
      </c>
      <c r="EE6" t="e">
        <f>AND(Sheet1!Y48,"AAAAAHXv+4Y=")</f>
        <v>#VALUE!</v>
      </c>
      <c r="EF6" t="e">
        <f>AND(Sheet1!Z48,"AAAAAHXv+4c=")</f>
        <v>#VALUE!</v>
      </c>
      <c r="EG6" t="e">
        <f>AND(Sheet1!AA48,"AAAAAHXv+4g=")</f>
        <v>#VALUE!</v>
      </c>
      <c r="EH6" t="e">
        <f>AND(Sheet1!AB48,"AAAAAHXv+4k=")</f>
        <v>#VALUE!</v>
      </c>
      <c r="EI6" t="e">
        <f>AND(Sheet1!AC48,"AAAAAHXv+4o=")</f>
        <v>#VALUE!</v>
      </c>
      <c r="EJ6">
        <f>IF(Sheet1!49:49,"AAAAAHXv+4s=",0)</f>
        <v>0</v>
      </c>
      <c r="EK6" t="e">
        <f>AND(Sheet1!A47,"AAAAAHXv+4w=")</f>
        <v>#VALUE!</v>
      </c>
      <c r="EL6" t="e">
        <f>AND(Sheet1!B47,"AAAAAHXv+40=")</f>
        <v>#VALUE!</v>
      </c>
      <c r="EM6" t="e">
        <f>AND(Sheet1!C47,"AAAAAHXv+44=")</f>
        <v>#VALUE!</v>
      </c>
      <c r="EN6" t="e">
        <f>AND(Sheet1!D47,"AAAAAHXv+48=")</f>
        <v>#VALUE!</v>
      </c>
      <c r="EO6" t="e">
        <f>AND(Sheet1!E47,"AAAAAHXv+5A=")</f>
        <v>#VALUE!</v>
      </c>
      <c r="EP6" t="e">
        <f>AND(Sheet1!F47,"AAAAAHXv+5E=")</f>
        <v>#VALUE!</v>
      </c>
      <c r="EQ6" t="e">
        <f>AND(Sheet1!G47,"AAAAAHXv+5I=")</f>
        <v>#VALUE!</v>
      </c>
      <c r="ER6" t="e">
        <f>AND(Sheet1!H47,"AAAAAHXv+5M=")</f>
        <v>#VALUE!</v>
      </c>
      <c r="ES6" t="e">
        <f>AND(Sheet1!I47,"AAAAAHXv+5Q=")</f>
        <v>#VALUE!</v>
      </c>
      <c r="ET6" t="e">
        <f>AND(Sheet1!J47,"AAAAAHXv+5U=")</f>
        <v>#VALUE!</v>
      </c>
      <c r="EU6" t="e">
        <f>AND(Sheet1!K47,"AAAAAHXv+5Y=")</f>
        <v>#VALUE!</v>
      </c>
      <c r="EV6" t="e">
        <f>AND(Sheet1!L47,"AAAAAHXv+5c=")</f>
        <v>#VALUE!</v>
      </c>
      <c r="EW6" t="e">
        <f>AND(Sheet1!M47,"AAAAAHXv+5g=")</f>
        <v>#VALUE!</v>
      </c>
      <c r="EX6" t="e">
        <f>AND(Sheet1!N47,"AAAAAHXv+5k=")</f>
        <v>#VALUE!</v>
      </c>
      <c r="EY6" t="e">
        <f>AND(Sheet1!#REF!,"AAAAAHXv+5o=")</f>
        <v>#REF!</v>
      </c>
      <c r="EZ6" t="e">
        <f>AND(Sheet1!#REF!,"AAAAAHXv+5s=")</f>
        <v>#REF!</v>
      </c>
      <c r="FA6" t="e">
        <f>AND(Sheet1!O49,"AAAAAHXv+5w=")</f>
        <v>#VALUE!</v>
      </c>
      <c r="FB6" t="e">
        <f>AND(Sheet1!Q49,"AAAAAHXv+50=")</f>
        <v>#VALUE!</v>
      </c>
      <c r="FC6" t="e">
        <f>AND(Sheet1!R49,"AAAAAHXv+54=")</f>
        <v>#VALUE!</v>
      </c>
      <c r="FD6" t="e">
        <f>AND(Sheet1!S49,"AAAAAHXv+58=")</f>
        <v>#VALUE!</v>
      </c>
      <c r="FE6" t="e">
        <f>AND(Sheet1!T49,"AAAAAHXv+6A=")</f>
        <v>#VALUE!</v>
      </c>
      <c r="FF6" t="e">
        <f>AND(Sheet1!U49,"AAAAAHXv+6E=")</f>
        <v>#VALUE!</v>
      </c>
      <c r="FG6" t="e">
        <f>AND(Sheet1!V49,"AAAAAHXv+6I=")</f>
        <v>#VALUE!</v>
      </c>
      <c r="FH6" t="e">
        <f>AND(Sheet1!W49,"AAAAAHXv+6M=")</f>
        <v>#VALUE!</v>
      </c>
      <c r="FI6" t="e">
        <f>AND(Sheet1!X49,"AAAAAHXv+6Q=")</f>
        <v>#VALUE!</v>
      </c>
      <c r="FJ6" t="e">
        <f>AND(Sheet1!#REF!,"AAAAAHXv+6U=")</f>
        <v>#REF!</v>
      </c>
      <c r="FK6" t="e">
        <f>AND(Sheet1!#REF!,"AAAAAHXv+6Y=")</f>
        <v>#REF!</v>
      </c>
      <c r="FL6" t="e">
        <f>AND(Sheet1!Y49,"AAAAAHXv+6c=")</f>
        <v>#VALUE!</v>
      </c>
      <c r="FM6" t="e">
        <f>AND(Sheet1!Z49,"AAAAAHXv+6g=")</f>
        <v>#VALUE!</v>
      </c>
      <c r="FN6" t="e">
        <f>AND(Sheet1!AA49,"AAAAAHXv+6k=")</f>
        <v>#VALUE!</v>
      </c>
      <c r="FO6" t="e">
        <f>AND(Sheet1!AB49,"AAAAAHXv+6o=")</f>
        <v>#VALUE!</v>
      </c>
      <c r="FP6" t="e">
        <f>AND(Sheet1!AC49,"AAAAAHXv+6s=")</f>
        <v>#VALUE!</v>
      </c>
      <c r="FQ6">
        <f>IF(Sheet1!50:50,"AAAAAHXv+6w=",0)</f>
        <v>0</v>
      </c>
      <c r="FR6" t="e">
        <f>AND(Sheet1!A50,"AAAAAHXv+60=")</f>
        <v>#VALUE!</v>
      </c>
      <c r="FS6" t="e">
        <f>AND(Sheet1!B50,"AAAAAHXv+64=")</f>
        <v>#VALUE!</v>
      </c>
      <c r="FT6" t="e">
        <f>AND(Sheet1!C50,"AAAAAHXv+68=")</f>
        <v>#VALUE!</v>
      </c>
      <c r="FU6" t="e">
        <f>AND(Sheet1!D50,"AAAAAHXv+7A=")</f>
        <v>#VALUE!</v>
      </c>
      <c r="FV6" t="e">
        <f>AND(Sheet1!E50,"AAAAAHXv+7E=")</f>
        <v>#VALUE!</v>
      </c>
      <c r="FW6" t="e">
        <f>AND(Sheet1!F50,"AAAAAHXv+7I=")</f>
        <v>#VALUE!</v>
      </c>
      <c r="FX6" t="e">
        <f>AND(Sheet1!G50,"AAAAAHXv+7M=")</f>
        <v>#VALUE!</v>
      </c>
      <c r="FY6" t="e">
        <f>AND(Sheet1!H50,"AAAAAHXv+7Q=")</f>
        <v>#VALUE!</v>
      </c>
      <c r="FZ6" t="e">
        <f>AND(Sheet1!I50,"AAAAAHXv+7U=")</f>
        <v>#VALUE!</v>
      </c>
      <c r="GA6" t="e">
        <f>AND(Sheet1!J50,"AAAAAHXv+7Y=")</f>
        <v>#VALUE!</v>
      </c>
      <c r="GB6" t="e">
        <f>AND(Sheet1!K50,"AAAAAHXv+7c=")</f>
        <v>#VALUE!</v>
      </c>
      <c r="GC6" t="e">
        <f>AND(Sheet1!L50,"AAAAAHXv+7g=")</f>
        <v>#VALUE!</v>
      </c>
      <c r="GD6" t="e">
        <f>AND(Sheet1!M50,"AAAAAHXv+7k=")</f>
        <v>#VALUE!</v>
      </c>
      <c r="GE6" t="e">
        <f>AND(Sheet1!N50,"AAAAAHXv+7o=")</f>
        <v>#VALUE!</v>
      </c>
      <c r="GF6" t="e">
        <f>AND(Sheet1!#REF!,"AAAAAHXv+7s=")</f>
        <v>#REF!</v>
      </c>
      <c r="GG6" t="e">
        <f>AND(Sheet1!#REF!,"AAAAAHXv+7w=")</f>
        <v>#REF!</v>
      </c>
      <c r="GH6" t="e">
        <f>AND(Sheet1!O50,"AAAAAHXv+70=")</f>
        <v>#VALUE!</v>
      </c>
      <c r="GI6" t="e">
        <f>AND(Sheet1!Q50,"AAAAAHXv+74=")</f>
        <v>#VALUE!</v>
      </c>
      <c r="GJ6" t="e">
        <f>AND(Sheet1!R50,"AAAAAHXv+78=")</f>
        <v>#VALUE!</v>
      </c>
      <c r="GK6" t="e">
        <f>AND(Sheet1!S50,"AAAAAHXv+8A=")</f>
        <v>#VALUE!</v>
      </c>
      <c r="GL6" t="e">
        <f>AND(Sheet1!T50,"AAAAAHXv+8E=")</f>
        <v>#VALUE!</v>
      </c>
      <c r="GM6" t="e">
        <f>AND(Sheet1!U50,"AAAAAHXv+8I=")</f>
        <v>#VALUE!</v>
      </c>
      <c r="GN6" t="e">
        <f>AND(Sheet1!V50,"AAAAAHXv+8M=")</f>
        <v>#VALUE!</v>
      </c>
      <c r="GO6" t="e">
        <f>AND(Sheet1!W50,"AAAAAHXv+8Q=")</f>
        <v>#VALUE!</v>
      </c>
      <c r="GP6" t="e">
        <f>AND(Sheet1!X50,"AAAAAHXv+8U=")</f>
        <v>#VALUE!</v>
      </c>
      <c r="GQ6" t="e">
        <f>AND(Sheet1!#REF!,"AAAAAHXv+8Y=")</f>
        <v>#REF!</v>
      </c>
      <c r="GR6" t="e">
        <f>AND(Sheet1!#REF!,"AAAAAHXv+8c=")</f>
        <v>#REF!</v>
      </c>
      <c r="GS6" t="e">
        <f>AND(Sheet1!Y50,"AAAAAHXv+8g=")</f>
        <v>#VALUE!</v>
      </c>
      <c r="GT6" t="e">
        <f>AND(Sheet1!Z50,"AAAAAHXv+8k=")</f>
        <v>#VALUE!</v>
      </c>
      <c r="GU6" t="e">
        <f>AND(Sheet1!AA50,"AAAAAHXv+8o=")</f>
        <v>#VALUE!</v>
      </c>
      <c r="GV6" t="e">
        <f>AND(Sheet1!AB50,"AAAAAHXv+8s=")</f>
        <v>#VALUE!</v>
      </c>
      <c r="GW6" t="e">
        <f>AND(Sheet1!AC50,"AAAAAHXv+8w=")</f>
        <v>#VALUE!</v>
      </c>
      <c r="GX6">
        <f>IF(Sheet1!51:51,"AAAAAHXv+80=",0)</f>
        <v>0</v>
      </c>
      <c r="GY6" t="e">
        <f>AND(Sheet1!A51,"AAAAAHXv+84=")</f>
        <v>#VALUE!</v>
      </c>
      <c r="GZ6" t="e">
        <f>AND(Sheet1!B51,"AAAAAHXv+88=")</f>
        <v>#VALUE!</v>
      </c>
      <c r="HA6" t="e">
        <f>AND(Sheet1!C51,"AAAAAHXv+9A=")</f>
        <v>#VALUE!</v>
      </c>
      <c r="HB6" t="e">
        <f>AND(Sheet1!D51,"AAAAAHXv+9E=")</f>
        <v>#VALUE!</v>
      </c>
      <c r="HC6" t="e">
        <f>AND(Sheet1!E51,"AAAAAHXv+9I=")</f>
        <v>#VALUE!</v>
      </c>
      <c r="HD6" t="e">
        <f>AND(Sheet1!F51,"AAAAAHXv+9M=")</f>
        <v>#VALUE!</v>
      </c>
      <c r="HE6" t="e">
        <f>AND(Sheet1!G51,"AAAAAHXv+9Q=")</f>
        <v>#VALUE!</v>
      </c>
      <c r="HF6" t="e">
        <f>AND(Sheet1!H51,"AAAAAHXv+9U=")</f>
        <v>#VALUE!</v>
      </c>
      <c r="HG6" t="e">
        <f>AND(Sheet1!I51,"AAAAAHXv+9Y=")</f>
        <v>#VALUE!</v>
      </c>
      <c r="HH6" t="e">
        <f>AND(Sheet1!J51,"AAAAAHXv+9c=")</f>
        <v>#VALUE!</v>
      </c>
      <c r="HI6" t="e">
        <f>AND(Sheet1!K51,"AAAAAHXv+9g=")</f>
        <v>#VALUE!</v>
      </c>
      <c r="HJ6" t="e">
        <f>AND(Sheet1!L51,"AAAAAHXv+9k=")</f>
        <v>#VALUE!</v>
      </c>
      <c r="HK6" t="e">
        <f>AND(Sheet1!M51,"AAAAAHXv+9o=")</f>
        <v>#VALUE!</v>
      </c>
      <c r="HL6" t="e">
        <f>AND(Sheet1!N51,"AAAAAHXv+9s=")</f>
        <v>#VALUE!</v>
      </c>
      <c r="HM6" t="e">
        <f>AND(Sheet1!#REF!,"AAAAAHXv+9w=")</f>
        <v>#REF!</v>
      </c>
      <c r="HN6" t="e">
        <f>AND(Sheet1!#REF!,"AAAAAHXv+90=")</f>
        <v>#REF!</v>
      </c>
      <c r="HO6" t="e">
        <f>AND(Sheet1!O51,"AAAAAHXv+94=")</f>
        <v>#VALUE!</v>
      </c>
      <c r="HP6" t="e">
        <f>AND(Sheet1!Q51,"AAAAAHXv+98=")</f>
        <v>#VALUE!</v>
      </c>
      <c r="HQ6" t="e">
        <f>AND(Sheet1!R51,"AAAAAHXv++A=")</f>
        <v>#VALUE!</v>
      </c>
      <c r="HR6" t="e">
        <f>AND(Sheet1!S51,"AAAAAHXv++E=")</f>
        <v>#VALUE!</v>
      </c>
      <c r="HS6" t="e">
        <f>AND(Sheet1!T51,"AAAAAHXv++I=")</f>
        <v>#VALUE!</v>
      </c>
      <c r="HT6" t="e">
        <f>AND(Sheet1!U51,"AAAAAHXv++M=")</f>
        <v>#VALUE!</v>
      </c>
      <c r="HU6" t="e">
        <f>AND(Sheet1!V51,"AAAAAHXv++Q=")</f>
        <v>#VALUE!</v>
      </c>
      <c r="HV6" t="e">
        <f>AND(Sheet1!W51,"AAAAAHXv++U=")</f>
        <v>#VALUE!</v>
      </c>
      <c r="HW6" t="e">
        <f>AND(Sheet1!X51,"AAAAAHXv++Y=")</f>
        <v>#VALUE!</v>
      </c>
      <c r="HX6" t="e">
        <f>AND(Sheet1!#REF!,"AAAAAHXv++c=")</f>
        <v>#REF!</v>
      </c>
      <c r="HY6" t="e">
        <f>AND(Sheet1!#REF!,"AAAAAHXv++g=")</f>
        <v>#REF!</v>
      </c>
      <c r="HZ6" t="e">
        <f>AND(Sheet1!Y51,"AAAAAHXv++k=")</f>
        <v>#VALUE!</v>
      </c>
      <c r="IA6" t="e">
        <f>AND(Sheet1!Z51,"AAAAAHXv++o=")</f>
        <v>#VALUE!</v>
      </c>
      <c r="IB6" t="e">
        <f>AND(Sheet1!AA51,"AAAAAHXv++s=")</f>
        <v>#VALUE!</v>
      </c>
      <c r="IC6" t="e">
        <f>AND(Sheet1!AB51,"AAAAAHXv++w=")</f>
        <v>#VALUE!</v>
      </c>
      <c r="ID6" t="e">
        <f>AND(Sheet1!AC51,"AAAAAHXv++0=")</f>
        <v>#VALUE!</v>
      </c>
      <c r="IE6">
        <f>IF(Sheet1!52:52,"AAAAAHXv++4=",0)</f>
        <v>0</v>
      </c>
      <c r="IF6" t="e">
        <f>AND(Sheet1!A52,"AAAAAHXv++8=")</f>
        <v>#VALUE!</v>
      </c>
      <c r="IG6" t="e">
        <f>AND(Sheet1!B52,"AAAAAHXv+/A=")</f>
        <v>#VALUE!</v>
      </c>
      <c r="IH6" t="e">
        <f>AND(Sheet1!C52,"AAAAAHXv+/E=")</f>
        <v>#VALUE!</v>
      </c>
      <c r="II6" t="e">
        <f>AND(Sheet1!D52,"AAAAAHXv+/I=")</f>
        <v>#VALUE!</v>
      </c>
      <c r="IJ6" t="e">
        <f>AND(Sheet1!E52,"AAAAAHXv+/M=")</f>
        <v>#VALUE!</v>
      </c>
      <c r="IK6" t="e">
        <f>AND(Sheet1!F52,"AAAAAHXv+/Q=")</f>
        <v>#VALUE!</v>
      </c>
      <c r="IL6" t="e">
        <f>AND(Sheet1!G52,"AAAAAHXv+/U=")</f>
        <v>#VALUE!</v>
      </c>
      <c r="IM6" t="e">
        <f>AND(Sheet1!H52,"AAAAAHXv+/Y=")</f>
        <v>#VALUE!</v>
      </c>
      <c r="IN6" t="e">
        <f>AND(Sheet1!I52,"AAAAAHXv+/c=")</f>
        <v>#VALUE!</v>
      </c>
      <c r="IO6" t="e">
        <f>AND(Sheet1!J52,"AAAAAHXv+/g=")</f>
        <v>#VALUE!</v>
      </c>
      <c r="IP6" t="e">
        <f>AND(Sheet1!K52,"AAAAAHXv+/k=")</f>
        <v>#VALUE!</v>
      </c>
      <c r="IQ6" t="e">
        <f>AND(Sheet1!L52,"AAAAAHXv+/o=")</f>
        <v>#VALUE!</v>
      </c>
      <c r="IR6" t="e">
        <f>AND(Sheet1!M52,"AAAAAHXv+/s=")</f>
        <v>#VALUE!</v>
      </c>
      <c r="IS6" t="e">
        <f>AND(Sheet1!N52,"AAAAAHXv+/w=")</f>
        <v>#VALUE!</v>
      </c>
      <c r="IT6" t="e">
        <f>AND(Sheet1!#REF!,"AAAAAHXv+/0=")</f>
        <v>#REF!</v>
      </c>
      <c r="IU6" t="e">
        <f>AND(Sheet1!#REF!,"AAAAAHXv+/4=")</f>
        <v>#REF!</v>
      </c>
      <c r="IV6" t="e">
        <f>AND(Sheet1!O52,"AAAAAHXv+/8=")</f>
        <v>#VALUE!</v>
      </c>
    </row>
    <row r="7" spans="1:256" x14ac:dyDescent="0.25">
      <c r="A7" t="e">
        <f>AND(Sheet1!Q52,"AAAAAG+POgA=")</f>
        <v>#VALUE!</v>
      </c>
      <c r="B7" t="e">
        <f>AND(Sheet1!R52,"AAAAAG+POgE=")</f>
        <v>#VALUE!</v>
      </c>
      <c r="C7" t="e">
        <f>AND(Sheet1!S52,"AAAAAG+POgI=")</f>
        <v>#VALUE!</v>
      </c>
      <c r="D7" t="e">
        <f>AND(Sheet1!T52,"AAAAAG+POgM=")</f>
        <v>#VALUE!</v>
      </c>
      <c r="E7" t="e">
        <f>AND(Sheet1!U52,"AAAAAG+POgQ=")</f>
        <v>#VALUE!</v>
      </c>
      <c r="F7" t="e">
        <f>AND(Sheet1!V52,"AAAAAG+POgU=")</f>
        <v>#VALUE!</v>
      </c>
      <c r="G7" t="e">
        <f>AND(Sheet1!W52,"AAAAAG+POgY=")</f>
        <v>#VALUE!</v>
      </c>
      <c r="H7" t="e">
        <f>AND(Sheet1!X52,"AAAAAG+POgc=")</f>
        <v>#VALUE!</v>
      </c>
      <c r="I7" t="e">
        <f>AND(Sheet1!#REF!,"AAAAAG+POgg=")</f>
        <v>#REF!</v>
      </c>
      <c r="J7" t="e">
        <f>AND(Sheet1!#REF!,"AAAAAG+POgk=")</f>
        <v>#REF!</v>
      </c>
      <c r="K7" t="e">
        <f>AND(Sheet1!Y52,"AAAAAG+POgo=")</f>
        <v>#VALUE!</v>
      </c>
      <c r="L7" t="e">
        <f>AND(Sheet1!Z52,"AAAAAG+POgs=")</f>
        <v>#VALUE!</v>
      </c>
      <c r="M7" t="e">
        <f>AND(Sheet1!AA52,"AAAAAG+POgw=")</f>
        <v>#VALUE!</v>
      </c>
      <c r="N7" t="e">
        <f>AND(Sheet1!AB52,"AAAAAG+POg0=")</f>
        <v>#VALUE!</v>
      </c>
      <c r="O7" t="e">
        <f>AND(Sheet1!AC52,"AAAAAG+POg4=")</f>
        <v>#VALUE!</v>
      </c>
      <c r="P7">
        <f>IF(Sheet1!53:53,"AAAAAG+POg8=",0)</f>
        <v>0</v>
      </c>
      <c r="Q7" t="e">
        <f>AND(Sheet1!A53,"AAAAAG+POhA=")</f>
        <v>#VALUE!</v>
      </c>
      <c r="R7" t="e">
        <f>AND(Sheet1!B53,"AAAAAG+POhE=")</f>
        <v>#VALUE!</v>
      </c>
      <c r="S7" t="e">
        <f>AND(Sheet1!C53,"AAAAAG+POhI=")</f>
        <v>#VALUE!</v>
      </c>
      <c r="T7" t="e">
        <f>AND(Sheet1!D53,"AAAAAG+POhM=")</f>
        <v>#VALUE!</v>
      </c>
      <c r="U7" t="e">
        <f>AND(Sheet1!E53,"AAAAAG+POhQ=")</f>
        <v>#VALUE!</v>
      </c>
      <c r="V7" t="e">
        <f>AND(Sheet1!F53,"AAAAAG+POhU=")</f>
        <v>#VALUE!</v>
      </c>
      <c r="W7" t="e">
        <f>AND(Sheet1!G53,"AAAAAG+POhY=")</f>
        <v>#VALUE!</v>
      </c>
      <c r="X7" t="e">
        <f>AND(Sheet1!H53,"AAAAAG+POhc=")</f>
        <v>#VALUE!</v>
      </c>
      <c r="Y7" t="e">
        <f>AND(Sheet1!I53,"AAAAAG+POhg=")</f>
        <v>#VALUE!</v>
      </c>
      <c r="Z7" t="e">
        <f>AND(Sheet1!J53,"AAAAAG+POhk=")</f>
        <v>#VALUE!</v>
      </c>
      <c r="AA7" t="e">
        <f>AND(Sheet1!K53,"AAAAAG+POho=")</f>
        <v>#VALUE!</v>
      </c>
      <c r="AB7" t="e">
        <f>AND(Sheet1!L53,"AAAAAG+POhs=")</f>
        <v>#VALUE!</v>
      </c>
      <c r="AC7" t="e">
        <f>AND(Sheet1!M53,"AAAAAG+POhw=")</f>
        <v>#VALUE!</v>
      </c>
      <c r="AD7" t="e">
        <f>AND(Sheet1!N53,"AAAAAG+POh0=")</f>
        <v>#VALUE!</v>
      </c>
      <c r="AE7" t="e">
        <f>AND(Sheet1!#REF!,"AAAAAG+POh4=")</f>
        <v>#REF!</v>
      </c>
      <c r="AF7" t="e">
        <f>AND(Sheet1!#REF!,"AAAAAG+POh8=")</f>
        <v>#REF!</v>
      </c>
      <c r="AG7" t="e">
        <f>AND(Sheet1!O53,"AAAAAG+POiA=")</f>
        <v>#VALUE!</v>
      </c>
      <c r="AH7" t="e">
        <f>AND(Sheet1!Q53,"AAAAAG+POiE=")</f>
        <v>#VALUE!</v>
      </c>
      <c r="AI7" t="e">
        <f>AND(Sheet1!R53,"AAAAAG+POiI=")</f>
        <v>#VALUE!</v>
      </c>
      <c r="AJ7" t="e">
        <f>AND(Sheet1!S53,"AAAAAG+POiM=")</f>
        <v>#VALUE!</v>
      </c>
      <c r="AK7" t="e">
        <f>AND(Sheet1!T53,"AAAAAG+POiQ=")</f>
        <v>#VALUE!</v>
      </c>
      <c r="AL7" t="e">
        <f>AND(Sheet1!U53,"AAAAAG+POiU=")</f>
        <v>#VALUE!</v>
      </c>
      <c r="AM7" t="e">
        <f>AND(Sheet1!V53,"AAAAAG+POiY=")</f>
        <v>#VALUE!</v>
      </c>
      <c r="AN7" t="e">
        <f>AND(Sheet1!W53,"AAAAAG+POic=")</f>
        <v>#VALUE!</v>
      </c>
      <c r="AO7" t="e">
        <f>AND(Sheet1!X53,"AAAAAG+POig=")</f>
        <v>#VALUE!</v>
      </c>
      <c r="AP7" t="e">
        <f>AND(Sheet1!#REF!,"AAAAAG+POik=")</f>
        <v>#REF!</v>
      </c>
      <c r="AQ7" t="e">
        <f>AND(Sheet1!#REF!,"AAAAAG+POio=")</f>
        <v>#REF!</v>
      </c>
      <c r="AR7" t="e">
        <f>AND(Sheet1!Y53,"AAAAAG+POis=")</f>
        <v>#VALUE!</v>
      </c>
      <c r="AS7" t="e">
        <f>AND(Sheet1!Z53,"AAAAAG+POiw=")</f>
        <v>#VALUE!</v>
      </c>
      <c r="AT7" t="e">
        <f>AND(Sheet1!AA53,"AAAAAG+POi0=")</f>
        <v>#VALUE!</v>
      </c>
      <c r="AU7" t="e">
        <f>AND(Sheet1!AB53,"AAAAAG+POi4=")</f>
        <v>#VALUE!</v>
      </c>
      <c r="AV7" t="e">
        <f>AND(Sheet1!AC53,"AAAAAG+POi8=")</f>
        <v>#VALUE!</v>
      </c>
      <c r="AW7">
        <f>IF(Sheet1!54:54,"AAAAAG+POjA=",0)</f>
        <v>0</v>
      </c>
      <c r="AX7" t="e">
        <f>AND(Sheet1!A54,"AAAAAG+POjE=")</f>
        <v>#VALUE!</v>
      </c>
      <c r="AY7" t="e">
        <f>AND(Sheet1!B54,"AAAAAG+POjI=")</f>
        <v>#VALUE!</v>
      </c>
      <c r="AZ7" t="e">
        <f>AND(Sheet1!C54,"AAAAAG+POjM=")</f>
        <v>#VALUE!</v>
      </c>
      <c r="BA7" t="e">
        <f>AND(Sheet1!D54,"AAAAAG+POjQ=")</f>
        <v>#VALUE!</v>
      </c>
      <c r="BB7" t="e">
        <f>AND(Sheet1!E54,"AAAAAG+POjU=")</f>
        <v>#VALUE!</v>
      </c>
      <c r="BC7" t="e">
        <f>AND(Sheet1!F54,"AAAAAG+POjY=")</f>
        <v>#VALUE!</v>
      </c>
      <c r="BD7" t="e">
        <f>AND(Sheet1!G54,"AAAAAG+POjc=")</f>
        <v>#VALUE!</v>
      </c>
      <c r="BE7" t="e">
        <f>AND(Sheet1!H54,"AAAAAG+POjg=")</f>
        <v>#VALUE!</v>
      </c>
      <c r="BF7" t="e">
        <f>AND(Sheet1!I54,"AAAAAG+POjk=")</f>
        <v>#VALUE!</v>
      </c>
      <c r="BG7" t="e">
        <f>AND(Sheet1!J54,"AAAAAG+POjo=")</f>
        <v>#VALUE!</v>
      </c>
      <c r="BH7" t="e">
        <f>AND(Sheet1!K54,"AAAAAG+POjs=")</f>
        <v>#VALUE!</v>
      </c>
      <c r="BI7" t="e">
        <f>AND(Sheet1!L54,"AAAAAG+POjw=")</f>
        <v>#VALUE!</v>
      </c>
      <c r="BJ7" t="e">
        <f>AND(Sheet1!M54,"AAAAAG+POj0=")</f>
        <v>#VALUE!</v>
      </c>
      <c r="BK7" t="e">
        <f>AND(Sheet1!N54,"AAAAAG+POj4=")</f>
        <v>#VALUE!</v>
      </c>
      <c r="BL7" t="e">
        <f>AND(Sheet1!#REF!,"AAAAAG+POj8=")</f>
        <v>#REF!</v>
      </c>
      <c r="BM7" t="e">
        <f>AND(Sheet1!#REF!,"AAAAAG+POkA=")</f>
        <v>#REF!</v>
      </c>
      <c r="BN7" t="e">
        <f>AND(Sheet1!O54,"AAAAAG+POkE=")</f>
        <v>#VALUE!</v>
      </c>
      <c r="BO7" t="e">
        <f>AND(Sheet1!Q54,"AAAAAG+POkI=")</f>
        <v>#VALUE!</v>
      </c>
      <c r="BP7" t="e">
        <f>AND(Sheet1!R54,"AAAAAG+POkM=")</f>
        <v>#VALUE!</v>
      </c>
      <c r="BQ7" t="e">
        <f>AND(Sheet1!S54,"AAAAAG+POkQ=")</f>
        <v>#VALUE!</v>
      </c>
      <c r="BR7" t="e">
        <f>AND(Sheet1!T54,"AAAAAG+POkU=")</f>
        <v>#VALUE!</v>
      </c>
      <c r="BS7" t="e">
        <f>AND(Sheet1!U54,"AAAAAG+POkY=")</f>
        <v>#VALUE!</v>
      </c>
      <c r="BT7" t="e">
        <f>AND(Sheet1!V54,"AAAAAG+POkc=")</f>
        <v>#VALUE!</v>
      </c>
      <c r="BU7" t="e">
        <f>AND(Sheet1!W54,"AAAAAG+POkg=")</f>
        <v>#VALUE!</v>
      </c>
      <c r="BV7" t="e">
        <f>AND(Sheet1!X54,"AAAAAG+POkk=")</f>
        <v>#VALUE!</v>
      </c>
      <c r="BW7" t="e">
        <f>AND(Sheet1!#REF!,"AAAAAG+POko=")</f>
        <v>#REF!</v>
      </c>
      <c r="BX7" t="e">
        <f>AND(Sheet1!#REF!,"AAAAAG+POks=")</f>
        <v>#REF!</v>
      </c>
      <c r="BY7" t="e">
        <f>AND(Sheet1!Y54,"AAAAAG+POkw=")</f>
        <v>#VALUE!</v>
      </c>
      <c r="BZ7" t="e">
        <f>AND(Sheet1!Z54,"AAAAAG+POk0=")</f>
        <v>#VALUE!</v>
      </c>
      <c r="CA7" t="e">
        <f>AND(Sheet1!AA54,"AAAAAG+POk4=")</f>
        <v>#VALUE!</v>
      </c>
      <c r="CB7" t="e">
        <f>AND(Sheet1!AB54,"AAAAAG+POk8=")</f>
        <v>#VALUE!</v>
      </c>
      <c r="CC7" t="e">
        <f>AND(Sheet1!AC54,"AAAAAG+POlA=")</f>
        <v>#VALUE!</v>
      </c>
      <c r="CD7">
        <f>IF(Sheet1!55:55,"AAAAAG+POlE=",0)</f>
        <v>0</v>
      </c>
      <c r="CE7" t="e">
        <f>AND(Sheet1!A55,"AAAAAG+POlI=")</f>
        <v>#VALUE!</v>
      </c>
      <c r="CF7" t="e">
        <f>AND(Sheet1!B55,"AAAAAG+POlM=")</f>
        <v>#VALUE!</v>
      </c>
      <c r="CG7" t="e">
        <f>AND(Sheet1!C55,"AAAAAG+POlQ=")</f>
        <v>#VALUE!</v>
      </c>
      <c r="CH7" t="e">
        <f>AND(Sheet1!D55,"AAAAAG+POlU=")</f>
        <v>#VALUE!</v>
      </c>
      <c r="CI7" t="e">
        <f>AND(Sheet1!E55,"AAAAAG+POlY=")</f>
        <v>#VALUE!</v>
      </c>
      <c r="CJ7" t="e">
        <f>AND(Sheet1!F55,"AAAAAG+POlc=")</f>
        <v>#VALUE!</v>
      </c>
      <c r="CK7" t="e">
        <f>AND(Sheet1!G55,"AAAAAG+POlg=")</f>
        <v>#VALUE!</v>
      </c>
      <c r="CL7" t="e">
        <f>AND(Sheet1!H55,"AAAAAG+POlk=")</f>
        <v>#VALUE!</v>
      </c>
      <c r="CM7" t="e">
        <f>AND(Sheet1!I55,"AAAAAG+POlo=")</f>
        <v>#VALUE!</v>
      </c>
      <c r="CN7" t="e">
        <f>AND(Sheet1!J55,"AAAAAG+POls=")</f>
        <v>#VALUE!</v>
      </c>
      <c r="CO7" t="e">
        <f>AND(Sheet1!K55,"AAAAAG+POlw=")</f>
        <v>#VALUE!</v>
      </c>
      <c r="CP7" t="e">
        <f>AND(Sheet1!L55,"AAAAAG+POl0=")</f>
        <v>#VALUE!</v>
      </c>
      <c r="CQ7" t="e">
        <f>AND(Sheet1!M55,"AAAAAG+POl4=")</f>
        <v>#VALUE!</v>
      </c>
      <c r="CR7" t="e">
        <f>AND(Sheet1!N55,"AAAAAG+POl8=")</f>
        <v>#VALUE!</v>
      </c>
      <c r="CS7" t="e">
        <f>AND(Sheet1!#REF!,"AAAAAG+POmA=")</f>
        <v>#REF!</v>
      </c>
      <c r="CT7" t="e">
        <f>AND(Sheet1!#REF!,"AAAAAG+POmE=")</f>
        <v>#REF!</v>
      </c>
      <c r="CU7" t="e">
        <f>AND(Sheet1!O55,"AAAAAG+POmI=")</f>
        <v>#VALUE!</v>
      </c>
      <c r="CV7" t="e">
        <f>AND(Sheet1!Q55,"AAAAAG+POmM=")</f>
        <v>#VALUE!</v>
      </c>
      <c r="CW7" t="e">
        <f>AND(Sheet1!R55,"AAAAAG+POmQ=")</f>
        <v>#VALUE!</v>
      </c>
      <c r="CX7" t="e">
        <f>AND(Sheet1!S55,"AAAAAG+POmU=")</f>
        <v>#VALUE!</v>
      </c>
      <c r="CY7" t="e">
        <f>AND(Sheet1!T55,"AAAAAG+POmY=")</f>
        <v>#VALUE!</v>
      </c>
      <c r="CZ7" t="e">
        <f>AND(Sheet1!U55,"AAAAAG+POmc=")</f>
        <v>#VALUE!</v>
      </c>
      <c r="DA7" t="e">
        <f>AND(Sheet1!V55,"AAAAAG+POmg=")</f>
        <v>#VALUE!</v>
      </c>
      <c r="DB7" t="e">
        <f>AND(Sheet1!W55,"AAAAAG+POmk=")</f>
        <v>#VALUE!</v>
      </c>
      <c r="DC7" t="e">
        <f>AND(Sheet1!X55,"AAAAAG+POmo=")</f>
        <v>#VALUE!</v>
      </c>
      <c r="DD7" t="e">
        <f>AND(Sheet1!#REF!,"AAAAAG+POms=")</f>
        <v>#REF!</v>
      </c>
      <c r="DE7" t="e">
        <f>AND(Sheet1!#REF!,"AAAAAG+POmw=")</f>
        <v>#REF!</v>
      </c>
      <c r="DF7" t="e">
        <f>AND(Sheet1!Y55,"AAAAAG+POm0=")</f>
        <v>#VALUE!</v>
      </c>
      <c r="DG7" t="e">
        <f>AND(Sheet1!Z55,"AAAAAG+POm4=")</f>
        <v>#VALUE!</v>
      </c>
      <c r="DH7" t="e">
        <f>AND(Sheet1!AA55,"AAAAAG+POm8=")</f>
        <v>#VALUE!</v>
      </c>
      <c r="DI7" t="e">
        <f>AND(Sheet1!AB55,"AAAAAG+POnA=")</f>
        <v>#VALUE!</v>
      </c>
      <c r="DJ7" t="e">
        <f>AND(Sheet1!AC55,"AAAAAG+POnE=")</f>
        <v>#VALUE!</v>
      </c>
      <c r="DK7">
        <f>IF(Sheet1!56:56,"AAAAAG+POnI=",0)</f>
        <v>0</v>
      </c>
      <c r="DL7" t="e">
        <f>AND(Sheet1!A56,"AAAAAG+POnM=")</f>
        <v>#VALUE!</v>
      </c>
      <c r="DM7" t="e">
        <f>AND(Sheet1!B56,"AAAAAG+POnQ=")</f>
        <v>#VALUE!</v>
      </c>
      <c r="DN7" t="e">
        <f>AND(Sheet1!C56,"AAAAAG+POnU=")</f>
        <v>#VALUE!</v>
      </c>
      <c r="DO7" t="e">
        <f>AND(Sheet1!D56,"AAAAAG+POnY=")</f>
        <v>#VALUE!</v>
      </c>
      <c r="DP7" t="e">
        <f>AND(Sheet1!E56,"AAAAAG+POnc=")</f>
        <v>#VALUE!</v>
      </c>
      <c r="DQ7" t="e">
        <f>AND(Sheet1!F56,"AAAAAG+POng=")</f>
        <v>#VALUE!</v>
      </c>
      <c r="DR7" t="e">
        <f>AND(Sheet1!G56,"AAAAAG+POnk=")</f>
        <v>#VALUE!</v>
      </c>
      <c r="DS7" t="e">
        <f>AND(Sheet1!H56,"AAAAAG+POno=")</f>
        <v>#VALUE!</v>
      </c>
      <c r="DT7" t="e">
        <f>AND(Sheet1!I56,"AAAAAG+POns=")</f>
        <v>#VALUE!</v>
      </c>
      <c r="DU7" t="e">
        <f>AND(Sheet1!J56,"AAAAAG+POnw=")</f>
        <v>#VALUE!</v>
      </c>
      <c r="DV7" t="e">
        <f>AND(Sheet1!K56,"AAAAAG+POn0=")</f>
        <v>#VALUE!</v>
      </c>
      <c r="DW7" t="e">
        <f>AND(Sheet1!L56,"AAAAAG+POn4=")</f>
        <v>#VALUE!</v>
      </c>
      <c r="DX7" t="e">
        <f>AND(Sheet1!M56,"AAAAAG+POn8=")</f>
        <v>#VALUE!</v>
      </c>
      <c r="DY7" t="e">
        <f>AND(Sheet1!N56,"AAAAAG+POoA=")</f>
        <v>#VALUE!</v>
      </c>
      <c r="DZ7" t="e">
        <f>AND(Sheet1!#REF!,"AAAAAG+POoE=")</f>
        <v>#REF!</v>
      </c>
      <c r="EA7" t="e">
        <f>AND(Sheet1!#REF!,"AAAAAG+POoI=")</f>
        <v>#REF!</v>
      </c>
      <c r="EB7" t="e">
        <f>AND(Sheet1!O56,"AAAAAG+POoM=")</f>
        <v>#VALUE!</v>
      </c>
      <c r="EC7" t="e">
        <f>AND(Sheet1!Q56,"AAAAAG+POoQ=")</f>
        <v>#VALUE!</v>
      </c>
      <c r="ED7" t="e">
        <f>AND(Sheet1!R56,"AAAAAG+POoU=")</f>
        <v>#VALUE!</v>
      </c>
      <c r="EE7" t="e">
        <f>AND(Sheet1!S56,"AAAAAG+POoY=")</f>
        <v>#VALUE!</v>
      </c>
      <c r="EF7" t="e">
        <f>AND(Sheet1!T56,"AAAAAG+POoc=")</f>
        <v>#VALUE!</v>
      </c>
      <c r="EG7" t="e">
        <f>AND(Sheet1!U56,"AAAAAG+POog=")</f>
        <v>#VALUE!</v>
      </c>
      <c r="EH7" t="e">
        <f>AND(Sheet1!V56,"AAAAAG+POok=")</f>
        <v>#VALUE!</v>
      </c>
      <c r="EI7" t="e">
        <f>AND(Sheet1!W56,"AAAAAG+POoo=")</f>
        <v>#VALUE!</v>
      </c>
      <c r="EJ7" t="e">
        <f>AND(Sheet1!X56,"AAAAAG+POos=")</f>
        <v>#VALUE!</v>
      </c>
      <c r="EK7" t="e">
        <f>AND(Sheet1!#REF!,"AAAAAG+POow=")</f>
        <v>#REF!</v>
      </c>
      <c r="EL7" t="e">
        <f>AND(Sheet1!#REF!,"AAAAAG+POo0=")</f>
        <v>#REF!</v>
      </c>
      <c r="EM7" t="e">
        <f>AND(Sheet1!Y56,"AAAAAG+POo4=")</f>
        <v>#VALUE!</v>
      </c>
      <c r="EN7" t="e">
        <f>AND(Sheet1!Z56,"AAAAAG+POo8=")</f>
        <v>#VALUE!</v>
      </c>
      <c r="EO7" t="e">
        <f>AND(Sheet1!AA56,"AAAAAG+POpA=")</f>
        <v>#VALUE!</v>
      </c>
      <c r="EP7" t="e">
        <f>AND(Sheet1!AB56,"AAAAAG+POpE=")</f>
        <v>#VALUE!</v>
      </c>
      <c r="EQ7" t="e">
        <f>AND(Sheet1!AC56,"AAAAAG+POpI=")</f>
        <v>#VALUE!</v>
      </c>
      <c r="ER7">
        <f>IF(Sheet1!57:57,"AAAAAG+POpM=",0)</f>
        <v>0</v>
      </c>
      <c r="ES7" t="e">
        <f>AND(Sheet1!A57,"AAAAAG+POpQ=")</f>
        <v>#VALUE!</v>
      </c>
      <c r="ET7" t="e">
        <f>AND(Sheet1!B57,"AAAAAG+POpU=")</f>
        <v>#VALUE!</v>
      </c>
      <c r="EU7" t="e">
        <f>AND(Sheet1!C57,"AAAAAG+POpY=")</f>
        <v>#VALUE!</v>
      </c>
      <c r="EV7" t="e">
        <f>AND(Sheet1!D57,"AAAAAG+POpc=")</f>
        <v>#VALUE!</v>
      </c>
      <c r="EW7" t="e">
        <f>AND(Sheet1!E57,"AAAAAG+POpg=")</f>
        <v>#VALUE!</v>
      </c>
      <c r="EX7" t="e">
        <f>AND(Sheet1!F57,"AAAAAG+POpk=")</f>
        <v>#VALUE!</v>
      </c>
      <c r="EY7" t="e">
        <f>AND(Sheet1!G57,"AAAAAG+POpo=")</f>
        <v>#VALUE!</v>
      </c>
      <c r="EZ7" t="e">
        <f>AND(Sheet1!H57,"AAAAAG+POps=")</f>
        <v>#VALUE!</v>
      </c>
      <c r="FA7" t="e">
        <f>AND(Sheet1!I57,"AAAAAG+POpw=")</f>
        <v>#VALUE!</v>
      </c>
      <c r="FB7" t="e">
        <f>AND(Sheet1!J57,"AAAAAG+POp0=")</f>
        <v>#VALUE!</v>
      </c>
      <c r="FC7" t="e">
        <f>AND(Sheet1!K57,"AAAAAG+POp4=")</f>
        <v>#VALUE!</v>
      </c>
      <c r="FD7" t="e">
        <f>AND(Sheet1!L57,"AAAAAG+POp8=")</f>
        <v>#VALUE!</v>
      </c>
      <c r="FE7" t="e">
        <f>AND(Sheet1!M57,"AAAAAG+POqA=")</f>
        <v>#VALUE!</v>
      </c>
      <c r="FF7" t="e">
        <f>AND(Sheet1!N57,"AAAAAG+POqE=")</f>
        <v>#VALUE!</v>
      </c>
      <c r="FG7" t="e">
        <f>AND(Sheet1!#REF!,"AAAAAG+POqI=")</f>
        <v>#REF!</v>
      </c>
      <c r="FH7" t="e">
        <f>AND(Sheet1!#REF!,"AAAAAG+POqM=")</f>
        <v>#REF!</v>
      </c>
      <c r="FI7" t="e">
        <f>AND(Sheet1!O57,"AAAAAG+POqQ=")</f>
        <v>#VALUE!</v>
      </c>
      <c r="FJ7" t="e">
        <f>AND(Sheet1!Q57,"AAAAAG+POqU=")</f>
        <v>#VALUE!</v>
      </c>
      <c r="FK7" t="e">
        <f>AND(Sheet1!R57,"AAAAAG+POqY=")</f>
        <v>#VALUE!</v>
      </c>
      <c r="FL7" t="e">
        <f>AND(Sheet1!S57,"AAAAAG+POqc=")</f>
        <v>#VALUE!</v>
      </c>
      <c r="FM7" t="e">
        <f>AND(Sheet1!T57,"AAAAAG+POqg=")</f>
        <v>#VALUE!</v>
      </c>
      <c r="FN7" t="e">
        <f>AND(Sheet1!U57,"AAAAAG+POqk=")</f>
        <v>#VALUE!</v>
      </c>
      <c r="FO7" t="e">
        <f>AND(Sheet1!V57,"AAAAAG+POqo=")</f>
        <v>#VALUE!</v>
      </c>
      <c r="FP7" t="e">
        <f>AND(Sheet1!W57,"AAAAAG+POqs=")</f>
        <v>#VALUE!</v>
      </c>
      <c r="FQ7" t="e">
        <f>AND(Sheet1!X57,"AAAAAG+POqw=")</f>
        <v>#VALUE!</v>
      </c>
      <c r="FR7" t="e">
        <f>AND(Sheet1!#REF!,"AAAAAG+POq0=")</f>
        <v>#REF!</v>
      </c>
      <c r="FS7" t="e">
        <f>AND(Sheet1!#REF!,"AAAAAG+POq4=")</f>
        <v>#REF!</v>
      </c>
      <c r="FT7" t="e">
        <f>AND(Sheet1!Y57,"AAAAAG+POq8=")</f>
        <v>#VALUE!</v>
      </c>
      <c r="FU7" t="e">
        <f>AND(Sheet1!Z57,"AAAAAG+POrA=")</f>
        <v>#VALUE!</v>
      </c>
      <c r="FV7" t="e">
        <f>AND(Sheet1!AA57,"AAAAAG+POrE=")</f>
        <v>#VALUE!</v>
      </c>
      <c r="FW7" t="e">
        <f>AND(Sheet1!AB57,"AAAAAG+POrI=")</f>
        <v>#VALUE!</v>
      </c>
      <c r="FX7" t="e">
        <f>AND(Sheet1!AC57,"AAAAAG+POrM=")</f>
        <v>#VALUE!</v>
      </c>
      <c r="FY7">
        <f>IF(Sheet1!58:58,"AAAAAG+POrQ=",0)</f>
        <v>0</v>
      </c>
      <c r="FZ7" t="e">
        <f>AND(Sheet1!A58,"AAAAAG+POrU=")</f>
        <v>#VALUE!</v>
      </c>
      <c r="GA7" t="e">
        <f>AND(Sheet1!B58,"AAAAAG+POrY=")</f>
        <v>#VALUE!</v>
      </c>
      <c r="GB7" t="e">
        <f>AND(Sheet1!C58,"AAAAAG+POrc=")</f>
        <v>#VALUE!</v>
      </c>
      <c r="GC7" t="e">
        <f>AND(Sheet1!D58,"AAAAAG+POrg=")</f>
        <v>#VALUE!</v>
      </c>
      <c r="GD7" t="e">
        <f>AND(Sheet1!E58,"AAAAAG+POrk=")</f>
        <v>#VALUE!</v>
      </c>
      <c r="GE7" t="e">
        <f>AND(Sheet1!F58,"AAAAAG+POro=")</f>
        <v>#VALUE!</v>
      </c>
      <c r="GF7" t="e">
        <f>AND(Sheet1!G58,"AAAAAG+POrs=")</f>
        <v>#VALUE!</v>
      </c>
      <c r="GG7" t="e">
        <f>AND(Sheet1!H58,"AAAAAG+POrw=")</f>
        <v>#VALUE!</v>
      </c>
      <c r="GH7" t="e">
        <f>AND(Sheet1!I58,"AAAAAG+POr0=")</f>
        <v>#VALUE!</v>
      </c>
      <c r="GI7" t="e">
        <f>AND(Sheet1!J58,"AAAAAG+POr4=")</f>
        <v>#VALUE!</v>
      </c>
      <c r="GJ7" t="e">
        <f>AND(Sheet1!K58,"AAAAAG+POr8=")</f>
        <v>#VALUE!</v>
      </c>
      <c r="GK7" t="e">
        <f>AND(Sheet1!L58,"AAAAAG+POsA=")</f>
        <v>#VALUE!</v>
      </c>
      <c r="GL7" t="e">
        <f>AND(Sheet1!M58,"AAAAAG+POsE=")</f>
        <v>#VALUE!</v>
      </c>
      <c r="GM7" t="e">
        <f>AND(Sheet1!N58,"AAAAAG+POsI=")</f>
        <v>#VALUE!</v>
      </c>
      <c r="GN7" t="e">
        <f>AND(Sheet1!#REF!,"AAAAAG+POsM=")</f>
        <v>#REF!</v>
      </c>
      <c r="GO7" t="e">
        <f>AND(Sheet1!#REF!,"AAAAAG+POsQ=")</f>
        <v>#REF!</v>
      </c>
      <c r="GP7" t="e">
        <f>AND(Sheet1!O58,"AAAAAG+POsU=")</f>
        <v>#VALUE!</v>
      </c>
      <c r="GQ7" t="e">
        <f>AND(Sheet1!Q58,"AAAAAG+POsY=")</f>
        <v>#VALUE!</v>
      </c>
      <c r="GR7" t="e">
        <f>AND(Sheet1!R58,"AAAAAG+POsc=")</f>
        <v>#VALUE!</v>
      </c>
      <c r="GS7" t="e">
        <f>AND(Sheet1!S58,"AAAAAG+POsg=")</f>
        <v>#VALUE!</v>
      </c>
      <c r="GT7" t="e">
        <f>AND(Sheet1!T58,"AAAAAG+POsk=")</f>
        <v>#VALUE!</v>
      </c>
      <c r="GU7" t="e">
        <f>AND(Sheet1!U58,"AAAAAG+POso=")</f>
        <v>#VALUE!</v>
      </c>
      <c r="GV7" t="e">
        <f>AND(Sheet1!V58,"AAAAAG+POss=")</f>
        <v>#VALUE!</v>
      </c>
      <c r="GW7" t="e">
        <f>AND(Sheet1!W58,"AAAAAG+POsw=")</f>
        <v>#VALUE!</v>
      </c>
      <c r="GX7" t="e">
        <f>AND(Sheet1!X58,"AAAAAG+POs0=")</f>
        <v>#VALUE!</v>
      </c>
      <c r="GY7" t="e">
        <f>AND(Sheet1!#REF!,"AAAAAG+POs4=")</f>
        <v>#REF!</v>
      </c>
      <c r="GZ7" t="e">
        <f>AND(Sheet1!#REF!,"AAAAAG+POs8=")</f>
        <v>#REF!</v>
      </c>
      <c r="HA7" t="e">
        <f>AND(Sheet1!Y58,"AAAAAG+POtA=")</f>
        <v>#VALUE!</v>
      </c>
      <c r="HB7" t="e">
        <f>AND(Sheet1!Z58,"AAAAAG+POtE=")</f>
        <v>#VALUE!</v>
      </c>
      <c r="HC7" t="e">
        <f>AND(Sheet1!AA58,"AAAAAG+POtI=")</f>
        <v>#VALUE!</v>
      </c>
      <c r="HD7" t="e">
        <f>AND(Sheet1!AB58,"AAAAAG+POtM=")</f>
        <v>#VALUE!</v>
      </c>
      <c r="HE7" t="e">
        <f>AND(Sheet1!AC58,"AAAAAG+POtQ=")</f>
        <v>#VALUE!</v>
      </c>
      <c r="HF7">
        <f>IF(Sheet1!59:59,"AAAAAG+POtU=",0)</f>
        <v>0</v>
      </c>
      <c r="HG7" t="e">
        <f>AND(Sheet1!A59,"AAAAAG+POtY=")</f>
        <v>#VALUE!</v>
      </c>
      <c r="HH7" t="e">
        <f>AND(Sheet1!B59,"AAAAAG+POtc=")</f>
        <v>#VALUE!</v>
      </c>
      <c r="HI7" t="e">
        <f>AND(Sheet1!C59,"AAAAAG+POtg=")</f>
        <v>#VALUE!</v>
      </c>
      <c r="HJ7" t="e">
        <f>AND(Sheet1!D59,"AAAAAG+POtk=")</f>
        <v>#VALUE!</v>
      </c>
      <c r="HK7" t="e">
        <f>AND(Sheet1!E59,"AAAAAG+POto=")</f>
        <v>#VALUE!</v>
      </c>
      <c r="HL7" t="e">
        <f>AND(Sheet1!F59,"AAAAAG+POts=")</f>
        <v>#VALUE!</v>
      </c>
      <c r="HM7" t="e">
        <f>AND(Sheet1!G59,"AAAAAG+POtw=")</f>
        <v>#VALUE!</v>
      </c>
      <c r="HN7" t="e">
        <f>AND(Sheet1!H59,"AAAAAG+POt0=")</f>
        <v>#VALUE!</v>
      </c>
      <c r="HO7" t="e">
        <f>AND(Sheet1!I59,"AAAAAG+POt4=")</f>
        <v>#VALUE!</v>
      </c>
      <c r="HP7" t="e">
        <f>AND(Sheet1!J59,"AAAAAG+POt8=")</f>
        <v>#VALUE!</v>
      </c>
      <c r="HQ7" t="e">
        <f>AND(Sheet1!K59,"AAAAAG+POuA=")</f>
        <v>#VALUE!</v>
      </c>
      <c r="HR7" t="e">
        <f>AND(Sheet1!L59,"AAAAAG+POuE=")</f>
        <v>#VALUE!</v>
      </c>
      <c r="HS7" t="e">
        <f>AND(Sheet1!M59,"AAAAAG+POuI=")</f>
        <v>#VALUE!</v>
      </c>
      <c r="HT7" t="e">
        <f>AND(Sheet1!N59,"AAAAAG+POuM=")</f>
        <v>#VALUE!</v>
      </c>
      <c r="HU7" t="e">
        <f>AND(Sheet1!#REF!,"AAAAAG+POuQ=")</f>
        <v>#REF!</v>
      </c>
      <c r="HV7" t="e">
        <f>AND(Sheet1!#REF!,"AAAAAG+POuU=")</f>
        <v>#REF!</v>
      </c>
      <c r="HW7" t="e">
        <f>AND(Sheet1!O59,"AAAAAG+POuY=")</f>
        <v>#VALUE!</v>
      </c>
      <c r="HX7" t="e">
        <f>AND(Sheet1!Q59,"AAAAAG+POuc=")</f>
        <v>#VALUE!</v>
      </c>
      <c r="HY7" t="e">
        <f>AND(Sheet1!R59,"AAAAAG+POug=")</f>
        <v>#VALUE!</v>
      </c>
      <c r="HZ7" t="e">
        <f>AND(Sheet1!S59,"AAAAAG+POuk=")</f>
        <v>#VALUE!</v>
      </c>
      <c r="IA7" t="e">
        <f>AND(Sheet1!T59,"AAAAAG+POuo=")</f>
        <v>#VALUE!</v>
      </c>
      <c r="IB7" t="e">
        <f>AND(Sheet1!U59,"AAAAAG+POus=")</f>
        <v>#VALUE!</v>
      </c>
      <c r="IC7" t="e">
        <f>AND(Sheet1!V59,"AAAAAG+POuw=")</f>
        <v>#VALUE!</v>
      </c>
      <c r="ID7" t="e">
        <f>AND(Sheet1!W59,"AAAAAG+POu0=")</f>
        <v>#VALUE!</v>
      </c>
      <c r="IE7" t="e">
        <f>AND(Sheet1!X59,"AAAAAG+POu4=")</f>
        <v>#VALUE!</v>
      </c>
      <c r="IF7" t="e">
        <f>AND(Sheet1!#REF!,"AAAAAG+POu8=")</f>
        <v>#REF!</v>
      </c>
      <c r="IG7" t="e">
        <f>AND(Sheet1!#REF!,"AAAAAG+POvA=")</f>
        <v>#REF!</v>
      </c>
      <c r="IH7" t="e">
        <f>AND(Sheet1!Y59,"AAAAAG+POvE=")</f>
        <v>#VALUE!</v>
      </c>
      <c r="II7" t="e">
        <f>AND(Sheet1!Z59,"AAAAAG+POvI=")</f>
        <v>#VALUE!</v>
      </c>
      <c r="IJ7" t="e">
        <f>AND(Sheet1!AA59,"AAAAAG+POvM=")</f>
        <v>#VALUE!</v>
      </c>
      <c r="IK7" t="e">
        <f>AND(Sheet1!AB59,"AAAAAG+POvQ=")</f>
        <v>#VALUE!</v>
      </c>
      <c r="IL7" t="e">
        <f>AND(Sheet1!AC59,"AAAAAG+POvU=")</f>
        <v>#VALUE!</v>
      </c>
      <c r="IM7">
        <f>IF(Sheet1!60:60,"AAAAAG+POvY=",0)</f>
        <v>0</v>
      </c>
      <c r="IN7" t="e">
        <f>AND(Sheet1!A60,"AAAAAG+POvc=")</f>
        <v>#VALUE!</v>
      </c>
      <c r="IO7" t="e">
        <f>AND(Sheet1!B60,"AAAAAG+POvg=")</f>
        <v>#VALUE!</v>
      </c>
      <c r="IP7" t="e">
        <f>AND(Sheet1!C60,"AAAAAG+POvk=")</f>
        <v>#VALUE!</v>
      </c>
      <c r="IQ7" t="e">
        <f>AND(Sheet1!D60,"AAAAAG+POvo=")</f>
        <v>#VALUE!</v>
      </c>
      <c r="IR7" t="e">
        <f>AND(Sheet1!E60,"AAAAAG+POvs=")</f>
        <v>#VALUE!</v>
      </c>
      <c r="IS7" t="e">
        <f>AND(Sheet1!F60,"AAAAAG+POvw=")</f>
        <v>#VALUE!</v>
      </c>
      <c r="IT7" t="e">
        <f>AND(Sheet1!G60,"AAAAAG+POv0=")</f>
        <v>#VALUE!</v>
      </c>
      <c r="IU7" t="e">
        <f>AND(Sheet1!H60,"AAAAAG+POv4=")</f>
        <v>#VALUE!</v>
      </c>
      <c r="IV7" t="e">
        <f>AND(Sheet1!I60,"AAAAAG+POv8=")</f>
        <v>#VALUE!</v>
      </c>
    </row>
    <row r="8" spans="1:256" x14ac:dyDescent="0.25">
      <c r="A8" t="e">
        <f>AND(Sheet1!J60,"AAAAAH7+ZgA=")</f>
        <v>#VALUE!</v>
      </c>
      <c r="B8" t="e">
        <f>AND(Sheet1!K60,"AAAAAH7+ZgE=")</f>
        <v>#VALUE!</v>
      </c>
      <c r="C8" t="e">
        <f>AND(Sheet1!L60,"AAAAAH7+ZgI=")</f>
        <v>#VALUE!</v>
      </c>
      <c r="D8" t="e">
        <f>AND(Sheet1!M60,"AAAAAH7+ZgM=")</f>
        <v>#VALUE!</v>
      </c>
      <c r="E8" t="e">
        <f>AND(Sheet1!N60,"AAAAAH7+ZgQ=")</f>
        <v>#VALUE!</v>
      </c>
      <c r="F8" t="e">
        <f>AND(Sheet1!#REF!,"AAAAAH7+ZgU=")</f>
        <v>#REF!</v>
      </c>
      <c r="G8" t="e">
        <f>AND(Sheet1!#REF!,"AAAAAH7+ZgY=")</f>
        <v>#REF!</v>
      </c>
      <c r="H8" t="e">
        <f>AND(Sheet1!O60,"AAAAAH7+Zgc=")</f>
        <v>#VALUE!</v>
      </c>
      <c r="I8" t="e">
        <f>AND(Sheet1!Q60,"AAAAAH7+Zgg=")</f>
        <v>#VALUE!</v>
      </c>
      <c r="J8" t="e">
        <f>AND(Sheet1!R60,"AAAAAH7+Zgk=")</f>
        <v>#VALUE!</v>
      </c>
      <c r="K8" t="e">
        <f>AND(Sheet1!S60,"AAAAAH7+Zgo=")</f>
        <v>#VALUE!</v>
      </c>
      <c r="L8" t="e">
        <f>AND(Sheet1!T60,"AAAAAH7+Zgs=")</f>
        <v>#VALUE!</v>
      </c>
      <c r="M8" t="e">
        <f>AND(Sheet1!U60,"AAAAAH7+Zgw=")</f>
        <v>#VALUE!</v>
      </c>
      <c r="N8" t="e">
        <f>AND(Sheet1!V60,"AAAAAH7+Zg0=")</f>
        <v>#VALUE!</v>
      </c>
      <c r="O8" t="e">
        <f>AND(Sheet1!W60,"AAAAAH7+Zg4=")</f>
        <v>#VALUE!</v>
      </c>
      <c r="P8" t="e">
        <f>AND(Sheet1!X60,"AAAAAH7+Zg8=")</f>
        <v>#VALUE!</v>
      </c>
      <c r="Q8" t="e">
        <f>AND(Sheet1!#REF!,"AAAAAH7+ZhA=")</f>
        <v>#REF!</v>
      </c>
      <c r="R8" t="e">
        <f>AND(Sheet1!#REF!,"AAAAAH7+ZhE=")</f>
        <v>#REF!</v>
      </c>
      <c r="S8" t="e">
        <f>AND(Sheet1!Y60,"AAAAAH7+ZhI=")</f>
        <v>#VALUE!</v>
      </c>
      <c r="T8" t="e">
        <f>AND(Sheet1!Z60,"AAAAAH7+ZhM=")</f>
        <v>#VALUE!</v>
      </c>
      <c r="U8" t="e">
        <f>AND(Sheet1!AA60,"AAAAAH7+ZhQ=")</f>
        <v>#VALUE!</v>
      </c>
      <c r="V8" t="e">
        <f>AND(Sheet1!AB60,"AAAAAH7+ZhU=")</f>
        <v>#VALUE!</v>
      </c>
      <c r="W8" t="e">
        <f>AND(Sheet1!AC60,"AAAAAH7+ZhY=")</f>
        <v>#VALUE!</v>
      </c>
      <c r="X8">
        <f>IF(Sheet1!61:61,"AAAAAH7+Zhc=",0)</f>
        <v>0</v>
      </c>
      <c r="Y8" t="e">
        <f>AND(Sheet1!A61,"AAAAAH7+Zhg=")</f>
        <v>#VALUE!</v>
      </c>
      <c r="Z8" t="e">
        <f>AND(Sheet1!B61,"AAAAAH7+Zhk=")</f>
        <v>#VALUE!</v>
      </c>
      <c r="AA8" t="e">
        <f>AND(Sheet1!C61,"AAAAAH7+Zho=")</f>
        <v>#VALUE!</v>
      </c>
      <c r="AB8" t="e">
        <f>AND(Sheet1!D61,"AAAAAH7+Zhs=")</f>
        <v>#VALUE!</v>
      </c>
      <c r="AC8" t="e">
        <f>AND(Sheet1!E61,"AAAAAH7+Zhw=")</f>
        <v>#VALUE!</v>
      </c>
      <c r="AD8" t="e">
        <f>AND(Sheet1!F61,"AAAAAH7+Zh0=")</f>
        <v>#VALUE!</v>
      </c>
      <c r="AE8" t="e">
        <f>AND(Sheet1!G61,"AAAAAH7+Zh4=")</f>
        <v>#VALUE!</v>
      </c>
      <c r="AF8" t="e">
        <f>AND(Sheet1!H61,"AAAAAH7+Zh8=")</f>
        <v>#VALUE!</v>
      </c>
      <c r="AG8" t="e">
        <f>AND(Sheet1!I61,"AAAAAH7+ZiA=")</f>
        <v>#VALUE!</v>
      </c>
      <c r="AH8" t="e">
        <f>AND(Sheet1!J61,"AAAAAH7+ZiE=")</f>
        <v>#VALUE!</v>
      </c>
      <c r="AI8" t="e">
        <f>AND(Sheet1!K61,"AAAAAH7+ZiI=")</f>
        <v>#VALUE!</v>
      </c>
      <c r="AJ8" t="e">
        <f>AND(Sheet1!L61,"AAAAAH7+ZiM=")</f>
        <v>#VALUE!</v>
      </c>
      <c r="AK8" t="e">
        <f>AND(Sheet1!M61,"AAAAAH7+ZiQ=")</f>
        <v>#VALUE!</v>
      </c>
      <c r="AL8" t="e">
        <f>AND(Sheet1!N61,"AAAAAH7+ZiU=")</f>
        <v>#VALUE!</v>
      </c>
      <c r="AM8" t="e">
        <f>AND(Sheet1!#REF!,"AAAAAH7+ZiY=")</f>
        <v>#REF!</v>
      </c>
      <c r="AN8" t="e">
        <f>AND(Sheet1!#REF!,"AAAAAH7+Zic=")</f>
        <v>#REF!</v>
      </c>
      <c r="AO8" t="e">
        <f>AND(Sheet1!O61,"AAAAAH7+Zig=")</f>
        <v>#VALUE!</v>
      </c>
      <c r="AP8" t="e">
        <f>AND(Sheet1!Q61,"AAAAAH7+Zik=")</f>
        <v>#VALUE!</v>
      </c>
      <c r="AQ8" t="e">
        <f>AND(Sheet1!R61,"AAAAAH7+Zio=")</f>
        <v>#VALUE!</v>
      </c>
      <c r="AR8" t="e">
        <f>AND(Sheet1!S61,"AAAAAH7+Zis=")</f>
        <v>#VALUE!</v>
      </c>
      <c r="AS8" t="e">
        <f>AND(Sheet1!T61,"AAAAAH7+Ziw=")</f>
        <v>#VALUE!</v>
      </c>
      <c r="AT8" t="e">
        <f>AND(Sheet1!U61,"AAAAAH7+Zi0=")</f>
        <v>#VALUE!</v>
      </c>
      <c r="AU8" t="e">
        <f>AND(Sheet1!V61,"AAAAAH7+Zi4=")</f>
        <v>#VALUE!</v>
      </c>
      <c r="AV8" t="e">
        <f>AND(Sheet1!W61,"AAAAAH7+Zi8=")</f>
        <v>#VALUE!</v>
      </c>
      <c r="AW8" t="e">
        <f>AND(Sheet1!X61,"AAAAAH7+ZjA=")</f>
        <v>#VALUE!</v>
      </c>
      <c r="AX8" t="e">
        <f>AND(Sheet1!#REF!,"AAAAAH7+ZjE=")</f>
        <v>#REF!</v>
      </c>
      <c r="AY8" t="e">
        <f>AND(Sheet1!#REF!,"AAAAAH7+ZjI=")</f>
        <v>#REF!</v>
      </c>
      <c r="AZ8" t="e">
        <f>AND(Sheet1!Y61,"AAAAAH7+ZjM=")</f>
        <v>#VALUE!</v>
      </c>
      <c r="BA8" t="e">
        <f>AND(Sheet1!Z61,"AAAAAH7+ZjQ=")</f>
        <v>#VALUE!</v>
      </c>
      <c r="BB8" t="e">
        <f>AND(Sheet1!AA61,"AAAAAH7+ZjU=")</f>
        <v>#VALUE!</v>
      </c>
      <c r="BC8" t="e">
        <f>AND(Sheet1!AB61,"AAAAAH7+ZjY=")</f>
        <v>#VALUE!</v>
      </c>
      <c r="BD8" t="e">
        <f>AND(Sheet1!AC61,"AAAAAH7+Zjc=")</f>
        <v>#VALUE!</v>
      </c>
      <c r="BE8">
        <f>IF(Sheet1!62:62,"AAAAAH7+Zjg=",0)</f>
        <v>0</v>
      </c>
      <c r="BF8" t="e">
        <f>AND(Sheet1!A62,"AAAAAH7+Zjk=")</f>
        <v>#VALUE!</v>
      </c>
      <c r="BG8" t="e">
        <f>AND(Sheet1!B62,"AAAAAH7+Zjo=")</f>
        <v>#VALUE!</v>
      </c>
      <c r="BH8" t="e">
        <f>AND(Sheet1!C62,"AAAAAH7+Zjs=")</f>
        <v>#VALUE!</v>
      </c>
      <c r="BI8" t="e">
        <f>AND(Sheet1!D62,"AAAAAH7+Zjw=")</f>
        <v>#VALUE!</v>
      </c>
      <c r="BJ8" t="e">
        <f>AND(Sheet1!E62,"AAAAAH7+Zj0=")</f>
        <v>#VALUE!</v>
      </c>
      <c r="BK8" t="e">
        <f>AND(Sheet1!F62,"AAAAAH7+Zj4=")</f>
        <v>#VALUE!</v>
      </c>
      <c r="BL8" t="e">
        <f>AND(Sheet1!G62,"AAAAAH7+Zj8=")</f>
        <v>#VALUE!</v>
      </c>
      <c r="BM8" t="e">
        <f>AND(Sheet1!H62,"AAAAAH7+ZkA=")</f>
        <v>#VALUE!</v>
      </c>
      <c r="BN8" t="e">
        <f>AND(Sheet1!I62,"AAAAAH7+ZkE=")</f>
        <v>#VALUE!</v>
      </c>
      <c r="BO8" t="e">
        <f>AND(Sheet1!J62,"AAAAAH7+ZkI=")</f>
        <v>#VALUE!</v>
      </c>
      <c r="BP8" t="e">
        <f>AND(Sheet1!K62,"AAAAAH7+ZkM=")</f>
        <v>#VALUE!</v>
      </c>
      <c r="BQ8" t="e">
        <f>AND(Sheet1!L62,"AAAAAH7+ZkQ=")</f>
        <v>#VALUE!</v>
      </c>
      <c r="BR8" t="e">
        <f>AND(Sheet1!M62,"AAAAAH7+ZkU=")</f>
        <v>#VALUE!</v>
      </c>
      <c r="BS8" t="e">
        <f>AND(Sheet1!N62,"AAAAAH7+ZkY=")</f>
        <v>#VALUE!</v>
      </c>
      <c r="BT8" t="e">
        <f>AND(Sheet1!#REF!,"AAAAAH7+Zkc=")</f>
        <v>#REF!</v>
      </c>
      <c r="BU8" t="e">
        <f>AND(Sheet1!#REF!,"AAAAAH7+Zkg=")</f>
        <v>#REF!</v>
      </c>
      <c r="BV8" t="e">
        <f>AND(Sheet1!O62,"AAAAAH7+Zkk=")</f>
        <v>#VALUE!</v>
      </c>
      <c r="BW8" t="e">
        <f>AND(Sheet1!Q62,"AAAAAH7+Zko=")</f>
        <v>#VALUE!</v>
      </c>
      <c r="BX8" t="e">
        <f>AND(Sheet1!R62,"AAAAAH7+Zks=")</f>
        <v>#VALUE!</v>
      </c>
      <c r="BY8" t="e">
        <f>AND(Sheet1!S62,"AAAAAH7+Zkw=")</f>
        <v>#VALUE!</v>
      </c>
      <c r="BZ8" t="e">
        <f>AND(Sheet1!T62,"AAAAAH7+Zk0=")</f>
        <v>#VALUE!</v>
      </c>
      <c r="CA8" t="e">
        <f>AND(Sheet1!U62,"AAAAAH7+Zk4=")</f>
        <v>#VALUE!</v>
      </c>
      <c r="CB8" t="e">
        <f>AND(Sheet1!V62,"AAAAAH7+Zk8=")</f>
        <v>#VALUE!</v>
      </c>
      <c r="CC8" t="e">
        <f>AND(Sheet1!W62,"AAAAAH7+ZlA=")</f>
        <v>#VALUE!</v>
      </c>
      <c r="CD8" t="e">
        <f>AND(Sheet1!X62,"AAAAAH7+ZlE=")</f>
        <v>#VALUE!</v>
      </c>
      <c r="CE8" t="e">
        <f>AND(Sheet1!#REF!,"AAAAAH7+ZlI=")</f>
        <v>#REF!</v>
      </c>
      <c r="CF8" t="e">
        <f>AND(Sheet1!#REF!,"AAAAAH7+ZlM=")</f>
        <v>#REF!</v>
      </c>
      <c r="CG8" t="e">
        <f>AND(Sheet1!Y62,"AAAAAH7+ZlQ=")</f>
        <v>#VALUE!</v>
      </c>
      <c r="CH8" t="e">
        <f>AND(Sheet1!Z62,"AAAAAH7+ZlU=")</f>
        <v>#VALUE!</v>
      </c>
      <c r="CI8" t="e">
        <f>AND(Sheet1!AA62,"AAAAAH7+ZlY=")</f>
        <v>#VALUE!</v>
      </c>
      <c r="CJ8" t="e">
        <f>AND(Sheet1!AB62,"AAAAAH7+Zlc=")</f>
        <v>#VALUE!</v>
      </c>
      <c r="CK8" t="e">
        <f>AND(Sheet1!AC62,"AAAAAH7+Zlg=")</f>
        <v>#VALUE!</v>
      </c>
      <c r="CL8">
        <f>IF(Sheet1!63:63,"AAAAAH7+Zlk=",0)</f>
        <v>0</v>
      </c>
      <c r="CM8" t="e">
        <f>AND(Sheet1!A63,"AAAAAH7+Zlo=")</f>
        <v>#VALUE!</v>
      </c>
      <c r="CN8" t="e">
        <f>AND(Sheet1!B63,"AAAAAH7+Zls=")</f>
        <v>#VALUE!</v>
      </c>
      <c r="CO8" t="e">
        <f>AND(Sheet1!C63,"AAAAAH7+Zlw=")</f>
        <v>#VALUE!</v>
      </c>
      <c r="CP8" t="e">
        <f>AND(Sheet1!D63,"AAAAAH7+Zl0=")</f>
        <v>#VALUE!</v>
      </c>
      <c r="CQ8" t="e">
        <f>AND(Sheet1!E63,"AAAAAH7+Zl4=")</f>
        <v>#VALUE!</v>
      </c>
      <c r="CR8" t="e">
        <f>AND(Sheet1!F63,"AAAAAH7+Zl8=")</f>
        <v>#VALUE!</v>
      </c>
      <c r="CS8" t="e">
        <f>AND(Sheet1!G63,"AAAAAH7+ZmA=")</f>
        <v>#VALUE!</v>
      </c>
      <c r="CT8" t="e">
        <f>AND(Sheet1!H63,"AAAAAH7+ZmE=")</f>
        <v>#VALUE!</v>
      </c>
      <c r="CU8" t="e">
        <f>AND(Sheet1!I63,"AAAAAH7+ZmI=")</f>
        <v>#VALUE!</v>
      </c>
      <c r="CV8" t="e">
        <f>AND(Sheet1!J63,"AAAAAH7+ZmM=")</f>
        <v>#VALUE!</v>
      </c>
      <c r="CW8" t="e">
        <f>AND(Sheet1!K63,"AAAAAH7+ZmQ=")</f>
        <v>#VALUE!</v>
      </c>
      <c r="CX8" t="e">
        <f>AND(Sheet1!L63,"AAAAAH7+ZmU=")</f>
        <v>#VALUE!</v>
      </c>
      <c r="CY8" t="e">
        <f>AND(Sheet1!M63,"AAAAAH7+ZmY=")</f>
        <v>#VALUE!</v>
      </c>
      <c r="CZ8" t="e">
        <f>AND(Sheet1!N63,"AAAAAH7+Zmc=")</f>
        <v>#VALUE!</v>
      </c>
      <c r="DA8" t="e">
        <f>AND(Sheet1!#REF!,"AAAAAH7+Zmg=")</f>
        <v>#REF!</v>
      </c>
      <c r="DB8" t="e">
        <f>AND(Sheet1!#REF!,"AAAAAH7+Zmk=")</f>
        <v>#REF!</v>
      </c>
      <c r="DC8" t="e">
        <f>AND(Sheet1!O63,"AAAAAH7+Zmo=")</f>
        <v>#VALUE!</v>
      </c>
      <c r="DD8" t="e">
        <f>AND(Sheet1!Q63,"AAAAAH7+Zms=")</f>
        <v>#VALUE!</v>
      </c>
      <c r="DE8" t="e">
        <f>AND(Sheet1!R63,"AAAAAH7+Zmw=")</f>
        <v>#VALUE!</v>
      </c>
      <c r="DF8" t="e">
        <f>AND(Sheet1!S63,"AAAAAH7+Zm0=")</f>
        <v>#VALUE!</v>
      </c>
      <c r="DG8" t="e">
        <f>AND(Sheet1!T63,"AAAAAH7+Zm4=")</f>
        <v>#VALUE!</v>
      </c>
      <c r="DH8" t="e">
        <f>AND(Sheet1!U63,"AAAAAH7+Zm8=")</f>
        <v>#VALUE!</v>
      </c>
      <c r="DI8" t="e">
        <f>AND(Sheet1!V63,"AAAAAH7+ZnA=")</f>
        <v>#VALUE!</v>
      </c>
      <c r="DJ8" t="e">
        <f>AND(Sheet1!W63,"AAAAAH7+ZnE=")</f>
        <v>#VALUE!</v>
      </c>
      <c r="DK8" t="e">
        <f>AND(Sheet1!X63,"AAAAAH7+ZnI=")</f>
        <v>#VALUE!</v>
      </c>
      <c r="DL8" t="e">
        <f>AND(Sheet1!#REF!,"AAAAAH7+ZnM=")</f>
        <v>#REF!</v>
      </c>
      <c r="DM8" t="e">
        <f>AND(Sheet1!#REF!,"AAAAAH7+ZnQ=")</f>
        <v>#REF!</v>
      </c>
      <c r="DN8" t="e">
        <f>AND(Sheet1!Y63,"AAAAAH7+ZnU=")</f>
        <v>#VALUE!</v>
      </c>
      <c r="DO8" t="e">
        <f>AND(Sheet1!Z63,"AAAAAH7+ZnY=")</f>
        <v>#VALUE!</v>
      </c>
      <c r="DP8" t="e">
        <f>AND(Sheet1!AA63,"AAAAAH7+Znc=")</f>
        <v>#VALUE!</v>
      </c>
      <c r="DQ8" t="e">
        <f>AND(Sheet1!AB63,"AAAAAH7+Zng=")</f>
        <v>#VALUE!</v>
      </c>
      <c r="DR8" t="e">
        <f>AND(Sheet1!AC63,"AAAAAH7+Znk=")</f>
        <v>#VALUE!</v>
      </c>
      <c r="DS8">
        <f>IF(Sheet1!64:64,"AAAAAH7+Zno=",0)</f>
        <v>0</v>
      </c>
      <c r="DT8" t="e">
        <f>AND(Sheet1!A64,"AAAAAH7+Zns=")</f>
        <v>#VALUE!</v>
      </c>
      <c r="DU8" t="e">
        <f>AND(Sheet1!B64,"AAAAAH7+Znw=")</f>
        <v>#VALUE!</v>
      </c>
      <c r="DV8" t="e">
        <f>AND(Sheet1!C64,"AAAAAH7+Zn0=")</f>
        <v>#VALUE!</v>
      </c>
      <c r="DW8" t="e">
        <f>AND(Sheet1!D64,"AAAAAH7+Zn4=")</f>
        <v>#VALUE!</v>
      </c>
      <c r="DX8" t="e">
        <f>AND(Sheet1!E64,"AAAAAH7+Zn8=")</f>
        <v>#VALUE!</v>
      </c>
      <c r="DY8" t="e">
        <f>AND(Sheet1!F64,"AAAAAH7+ZoA=")</f>
        <v>#VALUE!</v>
      </c>
      <c r="DZ8" t="e">
        <f>AND(Sheet1!G64,"AAAAAH7+ZoE=")</f>
        <v>#VALUE!</v>
      </c>
      <c r="EA8" t="e">
        <f>AND(Sheet1!H64,"AAAAAH7+ZoI=")</f>
        <v>#VALUE!</v>
      </c>
      <c r="EB8" t="e">
        <f>AND(Sheet1!I64,"AAAAAH7+ZoM=")</f>
        <v>#VALUE!</v>
      </c>
      <c r="EC8" t="e">
        <f>AND(Sheet1!J64,"AAAAAH7+ZoQ=")</f>
        <v>#VALUE!</v>
      </c>
      <c r="ED8" t="e">
        <f>AND(Sheet1!K64,"AAAAAH7+ZoU=")</f>
        <v>#VALUE!</v>
      </c>
      <c r="EE8" t="e">
        <f>AND(Sheet1!L64,"AAAAAH7+ZoY=")</f>
        <v>#VALUE!</v>
      </c>
      <c r="EF8" t="e">
        <f>AND(Sheet1!M64,"AAAAAH7+Zoc=")</f>
        <v>#VALUE!</v>
      </c>
      <c r="EG8" t="e">
        <f>AND(Sheet1!N64,"AAAAAH7+Zog=")</f>
        <v>#VALUE!</v>
      </c>
      <c r="EH8" t="e">
        <f>AND(Sheet1!#REF!,"AAAAAH7+Zok=")</f>
        <v>#REF!</v>
      </c>
      <c r="EI8" t="e">
        <f>AND(Sheet1!#REF!,"AAAAAH7+Zoo=")</f>
        <v>#REF!</v>
      </c>
      <c r="EJ8" t="e">
        <f>AND(Sheet1!O64,"AAAAAH7+Zos=")</f>
        <v>#VALUE!</v>
      </c>
      <c r="EK8" t="e">
        <f>AND(Sheet1!Q64,"AAAAAH7+Zow=")</f>
        <v>#VALUE!</v>
      </c>
      <c r="EL8" t="e">
        <f>AND(Sheet1!R64,"AAAAAH7+Zo0=")</f>
        <v>#VALUE!</v>
      </c>
      <c r="EM8" t="e">
        <f>AND(Sheet1!S64,"AAAAAH7+Zo4=")</f>
        <v>#VALUE!</v>
      </c>
      <c r="EN8" t="e">
        <f>AND(Sheet1!T64,"AAAAAH7+Zo8=")</f>
        <v>#VALUE!</v>
      </c>
      <c r="EO8" t="e">
        <f>AND(Sheet1!U64,"AAAAAH7+ZpA=")</f>
        <v>#VALUE!</v>
      </c>
      <c r="EP8" t="e">
        <f>AND(Sheet1!V64,"AAAAAH7+ZpE=")</f>
        <v>#VALUE!</v>
      </c>
      <c r="EQ8" t="e">
        <f>AND(Sheet1!W64,"AAAAAH7+ZpI=")</f>
        <v>#VALUE!</v>
      </c>
      <c r="ER8" t="e">
        <f>AND(Sheet1!X64,"AAAAAH7+ZpM=")</f>
        <v>#VALUE!</v>
      </c>
      <c r="ES8" t="e">
        <f>AND(Sheet1!#REF!,"AAAAAH7+ZpQ=")</f>
        <v>#REF!</v>
      </c>
      <c r="ET8" t="e">
        <f>AND(Sheet1!#REF!,"AAAAAH7+ZpU=")</f>
        <v>#REF!</v>
      </c>
      <c r="EU8" t="e">
        <f>AND(Sheet1!Y64,"AAAAAH7+ZpY=")</f>
        <v>#VALUE!</v>
      </c>
      <c r="EV8" t="e">
        <f>AND(Sheet1!Z64,"AAAAAH7+Zpc=")</f>
        <v>#VALUE!</v>
      </c>
      <c r="EW8" t="e">
        <f>AND(Sheet1!AA64,"AAAAAH7+Zpg=")</f>
        <v>#VALUE!</v>
      </c>
      <c r="EX8" t="e">
        <f>AND(Sheet1!AB64,"AAAAAH7+Zpk=")</f>
        <v>#VALUE!</v>
      </c>
      <c r="EY8" t="e">
        <f>AND(Sheet1!AC64,"AAAAAH7+Zpo=")</f>
        <v>#VALUE!</v>
      </c>
      <c r="EZ8">
        <f>IF(Sheet1!65:65,"AAAAAH7+Zps=",0)</f>
        <v>0</v>
      </c>
      <c r="FA8" t="e">
        <f>AND(Sheet1!A65,"AAAAAH7+Zpw=")</f>
        <v>#VALUE!</v>
      </c>
      <c r="FB8" t="e">
        <f>AND(Sheet1!B65,"AAAAAH7+Zp0=")</f>
        <v>#VALUE!</v>
      </c>
      <c r="FC8" t="e">
        <f>AND(Sheet1!C65,"AAAAAH7+Zp4=")</f>
        <v>#VALUE!</v>
      </c>
      <c r="FD8" t="e">
        <f>AND(Sheet1!D65,"AAAAAH7+Zp8=")</f>
        <v>#VALUE!</v>
      </c>
      <c r="FE8" t="e">
        <f>AND(Sheet1!E65,"AAAAAH7+ZqA=")</f>
        <v>#VALUE!</v>
      </c>
      <c r="FF8" t="e">
        <f>AND(Sheet1!F65,"AAAAAH7+ZqE=")</f>
        <v>#VALUE!</v>
      </c>
      <c r="FG8" t="e">
        <f>AND(Sheet1!G65,"AAAAAH7+ZqI=")</f>
        <v>#VALUE!</v>
      </c>
      <c r="FH8" t="e">
        <f>AND(Sheet1!H65,"AAAAAH7+ZqM=")</f>
        <v>#VALUE!</v>
      </c>
      <c r="FI8" t="e">
        <f>AND(Sheet1!I65,"AAAAAH7+ZqQ=")</f>
        <v>#VALUE!</v>
      </c>
      <c r="FJ8" t="e">
        <f>AND(Sheet1!J65,"AAAAAH7+ZqU=")</f>
        <v>#VALUE!</v>
      </c>
      <c r="FK8" t="e">
        <f>AND(Sheet1!K65,"AAAAAH7+ZqY=")</f>
        <v>#VALUE!</v>
      </c>
      <c r="FL8" t="e">
        <f>AND(Sheet1!L65,"AAAAAH7+Zqc=")</f>
        <v>#VALUE!</v>
      </c>
      <c r="FM8" t="e">
        <f>AND(Sheet1!M65,"AAAAAH7+Zqg=")</f>
        <v>#VALUE!</v>
      </c>
      <c r="FN8" t="e">
        <f>AND(Sheet1!N65,"AAAAAH7+Zqk=")</f>
        <v>#VALUE!</v>
      </c>
      <c r="FO8" t="e">
        <f>AND(Sheet1!#REF!,"AAAAAH7+Zqo=")</f>
        <v>#REF!</v>
      </c>
      <c r="FP8" t="e">
        <f>AND(Sheet1!#REF!,"AAAAAH7+Zqs=")</f>
        <v>#REF!</v>
      </c>
      <c r="FQ8" t="e">
        <f>AND(Sheet1!O65,"AAAAAH7+Zqw=")</f>
        <v>#VALUE!</v>
      </c>
      <c r="FR8" t="e">
        <f>AND(Sheet1!Q65,"AAAAAH7+Zq0=")</f>
        <v>#VALUE!</v>
      </c>
      <c r="FS8" t="e">
        <f>AND(Sheet1!R65,"AAAAAH7+Zq4=")</f>
        <v>#VALUE!</v>
      </c>
      <c r="FT8" t="e">
        <f>AND(Sheet1!S65,"AAAAAH7+Zq8=")</f>
        <v>#VALUE!</v>
      </c>
      <c r="FU8" t="e">
        <f>AND(Sheet1!T65,"AAAAAH7+ZrA=")</f>
        <v>#VALUE!</v>
      </c>
      <c r="FV8" t="e">
        <f>AND(Sheet1!U65,"AAAAAH7+ZrE=")</f>
        <v>#VALUE!</v>
      </c>
      <c r="FW8" t="e">
        <f>AND(Sheet1!V65,"AAAAAH7+ZrI=")</f>
        <v>#VALUE!</v>
      </c>
      <c r="FX8" t="e">
        <f>AND(Sheet1!W65,"AAAAAH7+ZrM=")</f>
        <v>#VALUE!</v>
      </c>
      <c r="FY8" t="e">
        <f>AND(Sheet1!X65,"AAAAAH7+ZrQ=")</f>
        <v>#VALUE!</v>
      </c>
      <c r="FZ8" t="e">
        <f>AND(Sheet1!#REF!,"AAAAAH7+ZrU=")</f>
        <v>#REF!</v>
      </c>
      <c r="GA8" t="e">
        <f>AND(Sheet1!#REF!,"AAAAAH7+ZrY=")</f>
        <v>#REF!</v>
      </c>
      <c r="GB8" t="e">
        <f>AND(Sheet1!Y65,"AAAAAH7+Zrc=")</f>
        <v>#VALUE!</v>
      </c>
      <c r="GC8" t="e">
        <f>AND(Sheet1!Z65,"AAAAAH7+Zrg=")</f>
        <v>#VALUE!</v>
      </c>
      <c r="GD8" t="e">
        <f>AND(Sheet1!AA65,"AAAAAH7+Zrk=")</f>
        <v>#VALUE!</v>
      </c>
      <c r="GE8" t="e">
        <f>AND(Sheet1!AB65,"AAAAAH7+Zro=")</f>
        <v>#VALUE!</v>
      </c>
      <c r="GF8" t="e">
        <f>AND(Sheet1!AC65,"AAAAAH7+Zrs=")</f>
        <v>#VALUE!</v>
      </c>
      <c r="GG8">
        <f>IF(Sheet1!66:66,"AAAAAH7+Zrw=",0)</f>
        <v>0</v>
      </c>
      <c r="GH8" t="e">
        <f>AND(Sheet1!A66,"AAAAAH7+Zr0=")</f>
        <v>#VALUE!</v>
      </c>
      <c r="GI8" t="e">
        <f>AND(Sheet1!B66,"AAAAAH7+Zr4=")</f>
        <v>#VALUE!</v>
      </c>
      <c r="GJ8" t="e">
        <f>AND(Sheet1!C66,"AAAAAH7+Zr8=")</f>
        <v>#VALUE!</v>
      </c>
      <c r="GK8" t="e">
        <f>AND(Sheet1!D66,"AAAAAH7+ZsA=")</f>
        <v>#VALUE!</v>
      </c>
      <c r="GL8" t="e">
        <f>AND(Sheet1!E66,"AAAAAH7+ZsE=")</f>
        <v>#VALUE!</v>
      </c>
      <c r="GM8" t="e">
        <f>AND(Sheet1!F66,"AAAAAH7+ZsI=")</f>
        <v>#VALUE!</v>
      </c>
      <c r="GN8" t="e">
        <f>AND(Sheet1!G66,"AAAAAH7+ZsM=")</f>
        <v>#VALUE!</v>
      </c>
      <c r="GO8" t="e">
        <f>AND(Sheet1!H66,"AAAAAH7+ZsQ=")</f>
        <v>#VALUE!</v>
      </c>
      <c r="GP8" t="e">
        <f>AND(Sheet1!I66,"AAAAAH7+ZsU=")</f>
        <v>#VALUE!</v>
      </c>
      <c r="GQ8" t="e">
        <f>AND(Sheet1!J66,"AAAAAH7+ZsY=")</f>
        <v>#VALUE!</v>
      </c>
      <c r="GR8" t="e">
        <f>AND(Sheet1!K66,"AAAAAH7+Zsc=")</f>
        <v>#VALUE!</v>
      </c>
      <c r="GS8" t="e">
        <f>AND(Sheet1!L66,"AAAAAH7+Zsg=")</f>
        <v>#VALUE!</v>
      </c>
      <c r="GT8" t="e">
        <f>AND(Sheet1!M66,"AAAAAH7+Zsk=")</f>
        <v>#VALUE!</v>
      </c>
      <c r="GU8" t="e">
        <f>AND(Sheet1!N66,"AAAAAH7+Zso=")</f>
        <v>#VALUE!</v>
      </c>
      <c r="GV8" t="e">
        <f>AND(Sheet1!#REF!,"AAAAAH7+Zss=")</f>
        <v>#REF!</v>
      </c>
      <c r="GW8" t="e">
        <f>AND(Sheet1!#REF!,"AAAAAH7+Zsw=")</f>
        <v>#REF!</v>
      </c>
      <c r="GX8" t="e">
        <f>AND(Sheet1!O66,"AAAAAH7+Zs0=")</f>
        <v>#VALUE!</v>
      </c>
      <c r="GY8" t="e">
        <f>AND(Sheet1!Q66,"AAAAAH7+Zs4=")</f>
        <v>#VALUE!</v>
      </c>
      <c r="GZ8" t="e">
        <f>AND(Sheet1!R66,"AAAAAH7+Zs8=")</f>
        <v>#VALUE!</v>
      </c>
      <c r="HA8" t="e">
        <f>AND(Sheet1!S66,"AAAAAH7+ZtA=")</f>
        <v>#VALUE!</v>
      </c>
      <c r="HB8" t="e">
        <f>AND(Sheet1!T66,"AAAAAH7+ZtE=")</f>
        <v>#VALUE!</v>
      </c>
      <c r="HC8" t="e">
        <f>AND(Sheet1!U66,"AAAAAH7+ZtI=")</f>
        <v>#VALUE!</v>
      </c>
      <c r="HD8" t="e">
        <f>AND(Sheet1!V66,"AAAAAH7+ZtM=")</f>
        <v>#VALUE!</v>
      </c>
      <c r="HE8" t="e">
        <f>AND(Sheet1!W66,"AAAAAH7+ZtQ=")</f>
        <v>#VALUE!</v>
      </c>
      <c r="HF8" t="e">
        <f>AND(Sheet1!X66,"AAAAAH7+ZtU=")</f>
        <v>#VALUE!</v>
      </c>
      <c r="HG8" t="e">
        <f>AND(Sheet1!#REF!,"AAAAAH7+ZtY=")</f>
        <v>#REF!</v>
      </c>
      <c r="HH8" t="e">
        <f>AND(Sheet1!#REF!,"AAAAAH7+Ztc=")</f>
        <v>#REF!</v>
      </c>
      <c r="HI8" t="e">
        <f>AND(Sheet1!Y66,"AAAAAH7+Ztg=")</f>
        <v>#VALUE!</v>
      </c>
      <c r="HJ8" t="e">
        <f>AND(Sheet1!Z66,"AAAAAH7+Ztk=")</f>
        <v>#VALUE!</v>
      </c>
      <c r="HK8" t="e">
        <f>AND(Sheet1!AA66,"AAAAAH7+Zto=")</f>
        <v>#VALUE!</v>
      </c>
      <c r="HL8" t="e">
        <f>AND(Sheet1!AB66,"AAAAAH7+Zts=")</f>
        <v>#VALUE!</v>
      </c>
      <c r="HM8" t="e">
        <f>AND(Sheet1!AC66,"AAAAAH7+Ztw=")</f>
        <v>#VALUE!</v>
      </c>
      <c r="HN8">
        <f>IF(Sheet1!67:67,"AAAAAH7+Zt0=",0)</f>
        <v>0</v>
      </c>
      <c r="HO8" t="e">
        <f>AND(Sheet1!A67,"AAAAAH7+Zt4=")</f>
        <v>#VALUE!</v>
      </c>
      <c r="HP8" t="e">
        <f>AND(Sheet1!B67,"AAAAAH7+Zt8=")</f>
        <v>#VALUE!</v>
      </c>
      <c r="HQ8" t="e">
        <f>AND(Sheet1!C67,"AAAAAH7+ZuA=")</f>
        <v>#VALUE!</v>
      </c>
      <c r="HR8" t="e">
        <f>AND(Sheet1!D67,"AAAAAH7+ZuE=")</f>
        <v>#VALUE!</v>
      </c>
      <c r="HS8" t="e">
        <f>AND(Sheet1!E67,"AAAAAH7+ZuI=")</f>
        <v>#VALUE!</v>
      </c>
      <c r="HT8" t="e">
        <f>AND(Sheet1!F67,"AAAAAH7+ZuM=")</f>
        <v>#VALUE!</v>
      </c>
      <c r="HU8" t="e">
        <f>AND(Sheet1!G67,"AAAAAH7+ZuQ=")</f>
        <v>#VALUE!</v>
      </c>
      <c r="HV8" t="e">
        <f>AND(Sheet1!H67,"AAAAAH7+ZuU=")</f>
        <v>#VALUE!</v>
      </c>
      <c r="HW8" t="e">
        <f>AND(Sheet1!I67,"AAAAAH7+ZuY=")</f>
        <v>#VALUE!</v>
      </c>
      <c r="HX8" t="e">
        <f>AND(Sheet1!J67,"AAAAAH7+Zuc=")</f>
        <v>#VALUE!</v>
      </c>
      <c r="HY8" t="e">
        <f>AND(Sheet1!K67,"AAAAAH7+Zug=")</f>
        <v>#VALUE!</v>
      </c>
      <c r="HZ8" t="e">
        <f>AND(Sheet1!L67,"AAAAAH7+Zuk=")</f>
        <v>#VALUE!</v>
      </c>
      <c r="IA8" t="e">
        <f>AND(Sheet1!M67,"AAAAAH7+Zuo=")</f>
        <v>#VALUE!</v>
      </c>
      <c r="IB8" t="e">
        <f>AND(Sheet1!N67,"AAAAAH7+Zus=")</f>
        <v>#VALUE!</v>
      </c>
      <c r="IC8" t="e">
        <f>AND(Sheet1!#REF!,"AAAAAH7+Zuw=")</f>
        <v>#REF!</v>
      </c>
      <c r="ID8" t="e">
        <f>AND(Sheet1!#REF!,"AAAAAH7+Zu0=")</f>
        <v>#REF!</v>
      </c>
      <c r="IE8" t="e">
        <f>AND(Sheet1!O67,"AAAAAH7+Zu4=")</f>
        <v>#VALUE!</v>
      </c>
      <c r="IF8" t="e">
        <f>AND(Sheet1!Q67,"AAAAAH7+Zu8=")</f>
        <v>#VALUE!</v>
      </c>
      <c r="IG8" t="e">
        <f>AND(Sheet1!R67,"AAAAAH7+ZvA=")</f>
        <v>#VALUE!</v>
      </c>
      <c r="IH8" t="e">
        <f>AND(Sheet1!S67,"AAAAAH7+ZvE=")</f>
        <v>#VALUE!</v>
      </c>
      <c r="II8" t="e">
        <f>AND(Sheet1!T67,"AAAAAH7+ZvI=")</f>
        <v>#VALUE!</v>
      </c>
      <c r="IJ8" t="e">
        <f>AND(Sheet1!U67,"AAAAAH7+ZvM=")</f>
        <v>#VALUE!</v>
      </c>
      <c r="IK8" t="e">
        <f>AND(Sheet1!V67,"AAAAAH7+ZvQ=")</f>
        <v>#VALUE!</v>
      </c>
      <c r="IL8" t="e">
        <f>AND(Sheet1!W67,"AAAAAH7+ZvU=")</f>
        <v>#VALUE!</v>
      </c>
      <c r="IM8" t="e">
        <f>AND(Sheet1!X67,"AAAAAH7+ZvY=")</f>
        <v>#VALUE!</v>
      </c>
      <c r="IN8" t="e">
        <f>AND(Sheet1!#REF!,"AAAAAH7+Zvc=")</f>
        <v>#REF!</v>
      </c>
      <c r="IO8" t="e">
        <f>AND(Sheet1!#REF!,"AAAAAH7+Zvg=")</f>
        <v>#REF!</v>
      </c>
      <c r="IP8" t="e">
        <f>AND(Sheet1!Y67,"AAAAAH7+Zvk=")</f>
        <v>#VALUE!</v>
      </c>
      <c r="IQ8" t="e">
        <f>AND(Sheet1!Z67,"AAAAAH7+Zvo=")</f>
        <v>#VALUE!</v>
      </c>
      <c r="IR8" t="e">
        <f>AND(Sheet1!AA67,"AAAAAH7+Zvs=")</f>
        <v>#VALUE!</v>
      </c>
      <c r="IS8" t="e">
        <f>AND(Sheet1!AB67,"AAAAAH7+Zvw=")</f>
        <v>#VALUE!</v>
      </c>
      <c r="IT8" t="e">
        <f>AND(Sheet1!AC67,"AAAAAH7+Zv0=")</f>
        <v>#VALUE!</v>
      </c>
      <c r="IU8">
        <f>IF(Sheet1!68:68,"AAAAAH7+Zv4=",0)</f>
        <v>0</v>
      </c>
      <c r="IV8" t="e">
        <f>AND(Sheet1!A68,"AAAAAH7+Zv8=")</f>
        <v>#VALUE!</v>
      </c>
    </row>
    <row r="9" spans="1:256" x14ac:dyDescent="0.25">
      <c r="A9" t="e">
        <f>AND(Sheet1!B68,"AAAAAH/n9gA=")</f>
        <v>#VALUE!</v>
      </c>
      <c r="B9" t="e">
        <f>AND(Sheet1!C68,"AAAAAH/n9gE=")</f>
        <v>#VALUE!</v>
      </c>
      <c r="C9" t="e">
        <f>AND(Sheet1!D68,"AAAAAH/n9gI=")</f>
        <v>#VALUE!</v>
      </c>
      <c r="D9" t="e">
        <f>AND(Sheet1!E68,"AAAAAH/n9gM=")</f>
        <v>#VALUE!</v>
      </c>
      <c r="E9" t="e">
        <f>AND(Sheet1!F68,"AAAAAH/n9gQ=")</f>
        <v>#VALUE!</v>
      </c>
      <c r="F9" t="e">
        <f>AND(Sheet1!G68,"AAAAAH/n9gU=")</f>
        <v>#VALUE!</v>
      </c>
      <c r="G9" t="e">
        <f>AND(Sheet1!H68,"AAAAAH/n9gY=")</f>
        <v>#VALUE!</v>
      </c>
      <c r="H9" t="e">
        <f>AND(Sheet1!I68,"AAAAAH/n9gc=")</f>
        <v>#VALUE!</v>
      </c>
      <c r="I9" t="e">
        <f>AND(Sheet1!J68,"AAAAAH/n9gg=")</f>
        <v>#VALUE!</v>
      </c>
      <c r="J9" t="e">
        <f>AND(Sheet1!K68,"AAAAAH/n9gk=")</f>
        <v>#VALUE!</v>
      </c>
      <c r="K9" t="e">
        <f>AND(Sheet1!L68,"AAAAAH/n9go=")</f>
        <v>#VALUE!</v>
      </c>
      <c r="L9" t="e">
        <f>AND(Sheet1!M68,"AAAAAH/n9gs=")</f>
        <v>#VALUE!</v>
      </c>
      <c r="M9" t="e">
        <f>AND(Sheet1!N68,"AAAAAH/n9gw=")</f>
        <v>#VALUE!</v>
      </c>
      <c r="N9" t="e">
        <f>AND(Sheet1!#REF!,"AAAAAH/n9g0=")</f>
        <v>#REF!</v>
      </c>
      <c r="O9" t="e">
        <f>AND(Sheet1!#REF!,"AAAAAH/n9g4=")</f>
        <v>#REF!</v>
      </c>
      <c r="P9" t="e">
        <f>AND(Sheet1!O68,"AAAAAH/n9g8=")</f>
        <v>#VALUE!</v>
      </c>
      <c r="Q9" t="e">
        <f>AND(Sheet1!Q68,"AAAAAH/n9hA=")</f>
        <v>#VALUE!</v>
      </c>
      <c r="R9" t="e">
        <f>AND(Sheet1!R68,"AAAAAH/n9hE=")</f>
        <v>#VALUE!</v>
      </c>
      <c r="S9" t="e">
        <f>AND(Sheet1!S68,"AAAAAH/n9hI=")</f>
        <v>#VALUE!</v>
      </c>
      <c r="T9" t="e">
        <f>AND(Sheet1!T68,"AAAAAH/n9hM=")</f>
        <v>#VALUE!</v>
      </c>
      <c r="U9" t="e">
        <f>AND(Sheet1!U68,"AAAAAH/n9hQ=")</f>
        <v>#VALUE!</v>
      </c>
      <c r="V9" t="e">
        <f>AND(Sheet1!V68,"AAAAAH/n9hU=")</f>
        <v>#VALUE!</v>
      </c>
      <c r="W9" t="e">
        <f>AND(Sheet1!W68,"AAAAAH/n9hY=")</f>
        <v>#VALUE!</v>
      </c>
      <c r="X9" t="e">
        <f>AND(Sheet1!X68,"AAAAAH/n9hc=")</f>
        <v>#VALUE!</v>
      </c>
      <c r="Y9" t="e">
        <f>AND(Sheet1!#REF!,"AAAAAH/n9hg=")</f>
        <v>#REF!</v>
      </c>
      <c r="Z9" t="e">
        <f>AND(Sheet1!#REF!,"AAAAAH/n9hk=")</f>
        <v>#REF!</v>
      </c>
      <c r="AA9" t="e">
        <f>AND(Sheet1!Y68,"AAAAAH/n9ho=")</f>
        <v>#VALUE!</v>
      </c>
      <c r="AB9" t="e">
        <f>AND(Sheet1!Z68,"AAAAAH/n9hs=")</f>
        <v>#VALUE!</v>
      </c>
      <c r="AC9" t="e">
        <f>AND(Sheet1!AA68,"AAAAAH/n9hw=")</f>
        <v>#VALUE!</v>
      </c>
      <c r="AD9" t="e">
        <f>AND(Sheet1!AB68,"AAAAAH/n9h0=")</f>
        <v>#VALUE!</v>
      </c>
      <c r="AE9" t="e">
        <f>AND(Sheet1!AC68,"AAAAAH/n9h4=")</f>
        <v>#VALUE!</v>
      </c>
      <c r="AF9">
        <f>IF(Sheet1!69:69,"AAAAAH/n9h8=",0)</f>
        <v>0</v>
      </c>
      <c r="AG9" t="e">
        <f>AND(Sheet1!A69,"AAAAAH/n9iA=")</f>
        <v>#VALUE!</v>
      </c>
      <c r="AH9" t="e">
        <f>AND(Sheet1!B69,"AAAAAH/n9iE=")</f>
        <v>#VALUE!</v>
      </c>
      <c r="AI9" t="e">
        <f>AND(Sheet1!C69,"AAAAAH/n9iI=")</f>
        <v>#VALUE!</v>
      </c>
      <c r="AJ9" t="e">
        <f>AND(Sheet1!D69,"AAAAAH/n9iM=")</f>
        <v>#VALUE!</v>
      </c>
      <c r="AK9" t="e">
        <f>AND(Sheet1!E69,"AAAAAH/n9iQ=")</f>
        <v>#VALUE!</v>
      </c>
      <c r="AL9" t="e">
        <f>AND(Sheet1!F69,"AAAAAH/n9iU=")</f>
        <v>#VALUE!</v>
      </c>
      <c r="AM9" t="e">
        <f>AND(Sheet1!G69,"AAAAAH/n9iY=")</f>
        <v>#VALUE!</v>
      </c>
      <c r="AN9" t="e">
        <f>AND(Sheet1!H69,"AAAAAH/n9ic=")</f>
        <v>#VALUE!</v>
      </c>
      <c r="AO9" t="e">
        <f>AND(Sheet1!I69,"AAAAAH/n9ig=")</f>
        <v>#VALUE!</v>
      </c>
      <c r="AP9" t="e">
        <f>AND(Sheet1!J69,"AAAAAH/n9ik=")</f>
        <v>#VALUE!</v>
      </c>
      <c r="AQ9" t="e">
        <f>AND(Sheet1!K69,"AAAAAH/n9io=")</f>
        <v>#VALUE!</v>
      </c>
      <c r="AR9" t="e">
        <f>AND(Sheet1!L69,"AAAAAH/n9is=")</f>
        <v>#VALUE!</v>
      </c>
      <c r="AS9" t="e">
        <f>AND(Sheet1!M69,"AAAAAH/n9iw=")</f>
        <v>#VALUE!</v>
      </c>
      <c r="AT9" t="e">
        <f>AND(Sheet1!N69,"AAAAAH/n9i0=")</f>
        <v>#VALUE!</v>
      </c>
      <c r="AU9" t="e">
        <f>AND(Sheet1!#REF!,"AAAAAH/n9i4=")</f>
        <v>#REF!</v>
      </c>
      <c r="AV9" t="e">
        <f>AND(Sheet1!#REF!,"AAAAAH/n9i8=")</f>
        <v>#REF!</v>
      </c>
      <c r="AW9" t="e">
        <f>AND(Sheet1!O69,"AAAAAH/n9jA=")</f>
        <v>#VALUE!</v>
      </c>
      <c r="AX9" t="e">
        <f>AND(Sheet1!Q69,"AAAAAH/n9jE=")</f>
        <v>#VALUE!</v>
      </c>
      <c r="AY9" t="e">
        <f>AND(Sheet1!R69,"AAAAAH/n9jI=")</f>
        <v>#VALUE!</v>
      </c>
      <c r="AZ9" t="e">
        <f>AND(Sheet1!S69,"AAAAAH/n9jM=")</f>
        <v>#VALUE!</v>
      </c>
      <c r="BA9" t="e">
        <f>AND(Sheet1!T69,"AAAAAH/n9jQ=")</f>
        <v>#VALUE!</v>
      </c>
      <c r="BB9" t="e">
        <f>AND(Sheet1!U69,"AAAAAH/n9jU=")</f>
        <v>#VALUE!</v>
      </c>
      <c r="BC9" t="e">
        <f>AND(Sheet1!V69,"AAAAAH/n9jY=")</f>
        <v>#VALUE!</v>
      </c>
      <c r="BD9" t="e">
        <f>AND(Sheet1!W69,"AAAAAH/n9jc=")</f>
        <v>#VALUE!</v>
      </c>
      <c r="BE9" t="e">
        <f>AND(Sheet1!X69,"AAAAAH/n9jg=")</f>
        <v>#VALUE!</v>
      </c>
      <c r="BF9" t="e">
        <f>AND(Sheet1!#REF!,"AAAAAH/n9jk=")</f>
        <v>#REF!</v>
      </c>
      <c r="BG9" t="e">
        <f>AND(Sheet1!#REF!,"AAAAAH/n9jo=")</f>
        <v>#REF!</v>
      </c>
      <c r="BH9" t="e">
        <f>AND(Sheet1!Y69,"AAAAAH/n9js=")</f>
        <v>#VALUE!</v>
      </c>
      <c r="BI9" t="e">
        <f>AND(Sheet1!Z69,"AAAAAH/n9jw=")</f>
        <v>#VALUE!</v>
      </c>
      <c r="BJ9" t="e">
        <f>AND(Sheet1!AA69,"AAAAAH/n9j0=")</f>
        <v>#VALUE!</v>
      </c>
      <c r="BK9" t="e">
        <f>AND(Sheet1!AB69,"AAAAAH/n9j4=")</f>
        <v>#VALUE!</v>
      </c>
      <c r="BL9" t="e">
        <f>AND(Sheet1!AC69,"AAAAAH/n9j8=")</f>
        <v>#VALUE!</v>
      </c>
      <c r="BM9">
        <f>IF(Sheet1!70:70,"AAAAAH/n9kA=",0)</f>
        <v>0</v>
      </c>
      <c r="BN9" t="e">
        <f>AND(Sheet1!A70,"AAAAAH/n9kE=")</f>
        <v>#VALUE!</v>
      </c>
      <c r="BO9" t="e">
        <f>AND(Sheet1!B70,"AAAAAH/n9kI=")</f>
        <v>#VALUE!</v>
      </c>
      <c r="BP9" t="e">
        <f>AND(Sheet1!C70,"AAAAAH/n9kM=")</f>
        <v>#VALUE!</v>
      </c>
      <c r="BQ9" t="e">
        <f>AND(Sheet1!D70,"AAAAAH/n9kQ=")</f>
        <v>#VALUE!</v>
      </c>
      <c r="BR9" t="e">
        <f>AND(Sheet1!E70,"AAAAAH/n9kU=")</f>
        <v>#VALUE!</v>
      </c>
      <c r="BS9" t="e">
        <f>AND(Sheet1!F70,"AAAAAH/n9kY=")</f>
        <v>#VALUE!</v>
      </c>
      <c r="BT9" t="e">
        <f>AND(Sheet1!G70,"AAAAAH/n9kc=")</f>
        <v>#VALUE!</v>
      </c>
      <c r="BU9" t="e">
        <f>AND(Sheet1!H70,"AAAAAH/n9kg=")</f>
        <v>#VALUE!</v>
      </c>
      <c r="BV9" t="e">
        <f>AND(Sheet1!I70,"AAAAAH/n9kk=")</f>
        <v>#VALUE!</v>
      </c>
      <c r="BW9" t="e">
        <f>AND(Sheet1!J70,"AAAAAH/n9ko=")</f>
        <v>#VALUE!</v>
      </c>
      <c r="BX9" t="e">
        <f>AND(Sheet1!K70,"AAAAAH/n9ks=")</f>
        <v>#VALUE!</v>
      </c>
      <c r="BY9" t="e">
        <f>AND(Sheet1!L70,"AAAAAH/n9kw=")</f>
        <v>#VALUE!</v>
      </c>
      <c r="BZ9" t="e">
        <f>AND(Sheet1!M70,"AAAAAH/n9k0=")</f>
        <v>#VALUE!</v>
      </c>
      <c r="CA9" t="e">
        <f>AND(Sheet1!N70,"AAAAAH/n9k4=")</f>
        <v>#VALUE!</v>
      </c>
      <c r="CB9" t="e">
        <f>AND(Sheet1!#REF!,"AAAAAH/n9k8=")</f>
        <v>#REF!</v>
      </c>
      <c r="CC9" t="e">
        <f>AND(Sheet1!#REF!,"AAAAAH/n9lA=")</f>
        <v>#REF!</v>
      </c>
      <c r="CD9" t="e">
        <f>AND(Sheet1!O70,"AAAAAH/n9lE=")</f>
        <v>#VALUE!</v>
      </c>
      <c r="CE9" t="e">
        <f>AND(Sheet1!Q70,"AAAAAH/n9lI=")</f>
        <v>#VALUE!</v>
      </c>
      <c r="CF9" t="e">
        <f>AND(Sheet1!R70,"AAAAAH/n9lM=")</f>
        <v>#VALUE!</v>
      </c>
      <c r="CG9" t="e">
        <f>AND(Sheet1!S70,"AAAAAH/n9lQ=")</f>
        <v>#VALUE!</v>
      </c>
      <c r="CH9" t="e">
        <f>AND(Sheet1!T70,"AAAAAH/n9lU=")</f>
        <v>#VALUE!</v>
      </c>
      <c r="CI9" t="e">
        <f>AND(Sheet1!U70,"AAAAAH/n9lY=")</f>
        <v>#VALUE!</v>
      </c>
      <c r="CJ9" t="e">
        <f>AND(Sheet1!V70,"AAAAAH/n9lc=")</f>
        <v>#VALUE!</v>
      </c>
      <c r="CK9" t="e">
        <f>AND(Sheet1!W70,"AAAAAH/n9lg=")</f>
        <v>#VALUE!</v>
      </c>
      <c r="CL9" t="e">
        <f>AND(Sheet1!X70,"AAAAAH/n9lk=")</f>
        <v>#VALUE!</v>
      </c>
      <c r="CM9" t="e">
        <f>AND(Sheet1!#REF!,"AAAAAH/n9lo=")</f>
        <v>#REF!</v>
      </c>
      <c r="CN9" t="e">
        <f>AND(Sheet1!#REF!,"AAAAAH/n9ls=")</f>
        <v>#REF!</v>
      </c>
      <c r="CO9" t="e">
        <f>AND(Sheet1!Y70,"AAAAAH/n9lw=")</f>
        <v>#VALUE!</v>
      </c>
      <c r="CP9" t="e">
        <f>AND(Sheet1!Z70,"AAAAAH/n9l0=")</f>
        <v>#VALUE!</v>
      </c>
      <c r="CQ9" t="e">
        <f>AND(Sheet1!AA70,"AAAAAH/n9l4=")</f>
        <v>#VALUE!</v>
      </c>
      <c r="CR9" t="e">
        <f>AND(Sheet1!AB70,"AAAAAH/n9l8=")</f>
        <v>#VALUE!</v>
      </c>
      <c r="CS9" t="e">
        <f>AND(Sheet1!AC70,"AAAAAH/n9mA=")</f>
        <v>#VALUE!</v>
      </c>
      <c r="CT9">
        <f>IF(Sheet1!71:71,"AAAAAH/n9mE=",0)</f>
        <v>0</v>
      </c>
      <c r="CU9" t="e">
        <f>AND(Sheet1!A71,"AAAAAH/n9mI=")</f>
        <v>#VALUE!</v>
      </c>
      <c r="CV9" t="e">
        <f>AND(Sheet1!B71,"AAAAAH/n9mM=")</f>
        <v>#VALUE!</v>
      </c>
      <c r="CW9" t="e">
        <f>AND(Sheet1!C71,"AAAAAH/n9mQ=")</f>
        <v>#VALUE!</v>
      </c>
      <c r="CX9" t="e">
        <f>AND(Sheet1!D71,"AAAAAH/n9mU=")</f>
        <v>#VALUE!</v>
      </c>
      <c r="CY9" t="e">
        <f>AND(Sheet1!E71,"AAAAAH/n9mY=")</f>
        <v>#VALUE!</v>
      </c>
      <c r="CZ9" t="e">
        <f>AND(Sheet1!F71,"AAAAAH/n9mc=")</f>
        <v>#VALUE!</v>
      </c>
      <c r="DA9" t="e">
        <f>AND(Sheet1!G71,"AAAAAH/n9mg=")</f>
        <v>#VALUE!</v>
      </c>
      <c r="DB9" t="e">
        <f>AND(Sheet1!H71,"AAAAAH/n9mk=")</f>
        <v>#VALUE!</v>
      </c>
      <c r="DC9" t="e">
        <f>AND(Sheet1!I71,"AAAAAH/n9mo=")</f>
        <v>#VALUE!</v>
      </c>
      <c r="DD9" t="e">
        <f>AND(Sheet1!J71,"AAAAAH/n9ms=")</f>
        <v>#VALUE!</v>
      </c>
      <c r="DE9" t="e">
        <f>AND(Sheet1!K71,"AAAAAH/n9mw=")</f>
        <v>#VALUE!</v>
      </c>
      <c r="DF9" t="e">
        <f>AND(Sheet1!L71,"AAAAAH/n9m0=")</f>
        <v>#VALUE!</v>
      </c>
      <c r="DG9" t="e">
        <f>AND(Sheet1!M71,"AAAAAH/n9m4=")</f>
        <v>#VALUE!</v>
      </c>
      <c r="DH9" t="e">
        <f>AND(Sheet1!N71,"AAAAAH/n9m8=")</f>
        <v>#VALUE!</v>
      </c>
      <c r="DI9" t="e">
        <f>AND(Sheet1!#REF!,"AAAAAH/n9nA=")</f>
        <v>#REF!</v>
      </c>
      <c r="DJ9" t="e">
        <f>AND(Sheet1!#REF!,"AAAAAH/n9nE=")</f>
        <v>#REF!</v>
      </c>
      <c r="DK9" t="e">
        <f>AND(Sheet1!O71,"AAAAAH/n9nI=")</f>
        <v>#VALUE!</v>
      </c>
      <c r="DL9" t="e">
        <f>AND(Sheet1!Q71,"AAAAAH/n9nM=")</f>
        <v>#VALUE!</v>
      </c>
      <c r="DM9" t="e">
        <f>AND(Sheet1!R71,"AAAAAH/n9nQ=")</f>
        <v>#VALUE!</v>
      </c>
      <c r="DN9" t="e">
        <f>AND(Sheet1!S71,"AAAAAH/n9nU=")</f>
        <v>#VALUE!</v>
      </c>
      <c r="DO9" t="e">
        <f>AND(Sheet1!T71,"AAAAAH/n9nY=")</f>
        <v>#VALUE!</v>
      </c>
      <c r="DP9" t="e">
        <f>AND(Sheet1!U71,"AAAAAH/n9nc=")</f>
        <v>#VALUE!</v>
      </c>
      <c r="DQ9" t="e">
        <f>AND(Sheet1!V71,"AAAAAH/n9ng=")</f>
        <v>#VALUE!</v>
      </c>
      <c r="DR9" t="e">
        <f>AND(Sheet1!W71,"AAAAAH/n9nk=")</f>
        <v>#VALUE!</v>
      </c>
      <c r="DS9" t="e">
        <f>AND(Sheet1!X71,"AAAAAH/n9no=")</f>
        <v>#VALUE!</v>
      </c>
      <c r="DT9" t="e">
        <f>AND(Sheet1!#REF!,"AAAAAH/n9ns=")</f>
        <v>#REF!</v>
      </c>
      <c r="DU9" t="e">
        <f>AND(Sheet1!#REF!,"AAAAAH/n9nw=")</f>
        <v>#REF!</v>
      </c>
      <c r="DV9" t="e">
        <f>AND(Sheet1!Y71,"AAAAAH/n9n0=")</f>
        <v>#VALUE!</v>
      </c>
      <c r="DW9" t="e">
        <f>AND(Sheet1!Z71,"AAAAAH/n9n4=")</f>
        <v>#VALUE!</v>
      </c>
      <c r="DX9" t="e">
        <f>AND(Sheet1!AA71,"AAAAAH/n9n8=")</f>
        <v>#VALUE!</v>
      </c>
      <c r="DY9" t="e">
        <f>AND(Sheet1!AB71,"AAAAAH/n9oA=")</f>
        <v>#VALUE!</v>
      </c>
      <c r="DZ9" t="e">
        <f>AND(Sheet1!AC71,"AAAAAH/n9oE=")</f>
        <v>#VALUE!</v>
      </c>
      <c r="EA9">
        <f>IF(Sheet1!72:72,"AAAAAH/n9oI=",0)</f>
        <v>0</v>
      </c>
      <c r="EB9" t="e">
        <f>AND(Sheet1!A72,"AAAAAH/n9oM=")</f>
        <v>#VALUE!</v>
      </c>
      <c r="EC9" t="e">
        <f>AND(Sheet1!B72,"AAAAAH/n9oQ=")</f>
        <v>#VALUE!</v>
      </c>
      <c r="ED9" t="e">
        <f>AND(Sheet1!C72,"AAAAAH/n9oU=")</f>
        <v>#VALUE!</v>
      </c>
      <c r="EE9" t="e">
        <f>AND(Sheet1!D72,"AAAAAH/n9oY=")</f>
        <v>#VALUE!</v>
      </c>
      <c r="EF9" t="e">
        <f>AND(Sheet1!E72,"AAAAAH/n9oc=")</f>
        <v>#VALUE!</v>
      </c>
      <c r="EG9" t="e">
        <f>AND(Sheet1!F72,"AAAAAH/n9og=")</f>
        <v>#VALUE!</v>
      </c>
      <c r="EH9" t="e">
        <f>AND(Sheet1!G72,"AAAAAH/n9ok=")</f>
        <v>#VALUE!</v>
      </c>
      <c r="EI9" t="e">
        <f>AND(Sheet1!H72,"AAAAAH/n9oo=")</f>
        <v>#VALUE!</v>
      </c>
      <c r="EJ9" t="e">
        <f>AND(Sheet1!I72,"AAAAAH/n9os=")</f>
        <v>#VALUE!</v>
      </c>
      <c r="EK9" t="e">
        <f>AND(Sheet1!J72,"AAAAAH/n9ow=")</f>
        <v>#VALUE!</v>
      </c>
      <c r="EL9" t="e">
        <f>AND(Sheet1!K72,"AAAAAH/n9o0=")</f>
        <v>#VALUE!</v>
      </c>
      <c r="EM9" t="e">
        <f>AND(Sheet1!L72,"AAAAAH/n9o4=")</f>
        <v>#VALUE!</v>
      </c>
      <c r="EN9" t="e">
        <f>AND(Sheet1!M72,"AAAAAH/n9o8=")</f>
        <v>#VALUE!</v>
      </c>
      <c r="EO9" t="e">
        <f>AND(Sheet1!N72,"AAAAAH/n9pA=")</f>
        <v>#VALUE!</v>
      </c>
      <c r="EP9" t="e">
        <f>AND(Sheet1!#REF!,"AAAAAH/n9pE=")</f>
        <v>#REF!</v>
      </c>
      <c r="EQ9" t="e">
        <f>AND(Sheet1!#REF!,"AAAAAH/n9pI=")</f>
        <v>#REF!</v>
      </c>
      <c r="ER9" t="e">
        <f>AND(Sheet1!O72,"AAAAAH/n9pM=")</f>
        <v>#VALUE!</v>
      </c>
      <c r="ES9" t="e">
        <f>AND(Sheet1!Q72,"AAAAAH/n9pQ=")</f>
        <v>#VALUE!</v>
      </c>
      <c r="ET9" t="e">
        <f>AND(Sheet1!R72,"AAAAAH/n9pU=")</f>
        <v>#VALUE!</v>
      </c>
      <c r="EU9" t="e">
        <f>AND(Sheet1!S72,"AAAAAH/n9pY=")</f>
        <v>#VALUE!</v>
      </c>
      <c r="EV9" t="e">
        <f>AND(Sheet1!T72,"AAAAAH/n9pc=")</f>
        <v>#VALUE!</v>
      </c>
      <c r="EW9" t="e">
        <f>AND(Sheet1!U72,"AAAAAH/n9pg=")</f>
        <v>#VALUE!</v>
      </c>
      <c r="EX9" t="e">
        <f>AND(Sheet1!V72,"AAAAAH/n9pk=")</f>
        <v>#VALUE!</v>
      </c>
      <c r="EY9" t="e">
        <f>AND(Sheet1!W72,"AAAAAH/n9po=")</f>
        <v>#VALUE!</v>
      </c>
      <c r="EZ9" t="e">
        <f>AND(Sheet1!X72,"AAAAAH/n9ps=")</f>
        <v>#VALUE!</v>
      </c>
      <c r="FA9" t="e">
        <f>AND(Sheet1!#REF!,"AAAAAH/n9pw=")</f>
        <v>#REF!</v>
      </c>
      <c r="FB9" t="e">
        <f>AND(Sheet1!#REF!,"AAAAAH/n9p0=")</f>
        <v>#REF!</v>
      </c>
      <c r="FC9" t="e">
        <f>AND(Sheet1!Y72,"AAAAAH/n9p4=")</f>
        <v>#VALUE!</v>
      </c>
      <c r="FD9" t="e">
        <f>AND(Sheet1!Z72,"AAAAAH/n9p8=")</f>
        <v>#VALUE!</v>
      </c>
      <c r="FE9" t="e">
        <f>AND(Sheet1!AA72,"AAAAAH/n9qA=")</f>
        <v>#VALUE!</v>
      </c>
      <c r="FF9" t="e">
        <f>AND(Sheet1!AB72,"AAAAAH/n9qE=")</f>
        <v>#VALUE!</v>
      </c>
      <c r="FG9" t="e">
        <f>AND(Sheet1!AC72,"AAAAAH/n9qI=")</f>
        <v>#VALUE!</v>
      </c>
      <c r="FH9">
        <f>IF(Sheet1!73:73,"AAAAAH/n9qM=",0)</f>
        <v>0</v>
      </c>
      <c r="FI9" t="e">
        <f>AND(Sheet1!A73,"AAAAAH/n9qQ=")</f>
        <v>#VALUE!</v>
      </c>
      <c r="FJ9" t="e">
        <f>AND(Sheet1!B73,"AAAAAH/n9qU=")</f>
        <v>#VALUE!</v>
      </c>
      <c r="FK9" t="e">
        <f>AND(Sheet1!C73,"AAAAAH/n9qY=")</f>
        <v>#VALUE!</v>
      </c>
      <c r="FL9" t="e">
        <f>AND(Sheet1!D73,"AAAAAH/n9qc=")</f>
        <v>#VALUE!</v>
      </c>
      <c r="FM9" t="e">
        <f>AND(Sheet1!E73,"AAAAAH/n9qg=")</f>
        <v>#VALUE!</v>
      </c>
      <c r="FN9" t="e">
        <f>AND(Sheet1!F73,"AAAAAH/n9qk=")</f>
        <v>#VALUE!</v>
      </c>
      <c r="FO9" t="e">
        <f>AND(Sheet1!G73,"AAAAAH/n9qo=")</f>
        <v>#VALUE!</v>
      </c>
      <c r="FP9" t="e">
        <f>AND(Sheet1!H73,"AAAAAH/n9qs=")</f>
        <v>#VALUE!</v>
      </c>
      <c r="FQ9" t="e">
        <f>AND(Sheet1!I73,"AAAAAH/n9qw=")</f>
        <v>#VALUE!</v>
      </c>
      <c r="FR9" t="e">
        <f>AND(Sheet1!J73,"AAAAAH/n9q0=")</f>
        <v>#VALUE!</v>
      </c>
      <c r="FS9" t="e">
        <f>AND(Sheet1!K73,"AAAAAH/n9q4=")</f>
        <v>#VALUE!</v>
      </c>
      <c r="FT9" t="e">
        <f>AND(Sheet1!L73,"AAAAAH/n9q8=")</f>
        <v>#VALUE!</v>
      </c>
      <c r="FU9" t="e">
        <f>AND(Sheet1!M73,"AAAAAH/n9rA=")</f>
        <v>#VALUE!</v>
      </c>
      <c r="FV9" t="e">
        <f>AND(Sheet1!N73,"AAAAAH/n9rE=")</f>
        <v>#VALUE!</v>
      </c>
      <c r="FW9" t="e">
        <f>AND(Sheet1!#REF!,"AAAAAH/n9rI=")</f>
        <v>#REF!</v>
      </c>
      <c r="FX9" t="e">
        <f>AND(Sheet1!#REF!,"AAAAAH/n9rM=")</f>
        <v>#REF!</v>
      </c>
      <c r="FY9" t="e">
        <f>AND(Sheet1!O73,"AAAAAH/n9rQ=")</f>
        <v>#VALUE!</v>
      </c>
      <c r="FZ9" t="e">
        <f>AND(Sheet1!Q73,"AAAAAH/n9rU=")</f>
        <v>#VALUE!</v>
      </c>
      <c r="GA9" t="e">
        <f>AND(Sheet1!R73,"AAAAAH/n9rY=")</f>
        <v>#VALUE!</v>
      </c>
      <c r="GB9" t="e">
        <f>AND(Sheet1!S73,"AAAAAH/n9rc=")</f>
        <v>#VALUE!</v>
      </c>
      <c r="GC9" t="e">
        <f>AND(Sheet1!T73,"AAAAAH/n9rg=")</f>
        <v>#VALUE!</v>
      </c>
      <c r="GD9" t="e">
        <f>AND(Sheet1!U73,"AAAAAH/n9rk=")</f>
        <v>#VALUE!</v>
      </c>
      <c r="GE9" t="e">
        <f>AND(Sheet1!V73,"AAAAAH/n9ro=")</f>
        <v>#VALUE!</v>
      </c>
      <c r="GF9" t="e">
        <f>AND(Sheet1!W73,"AAAAAH/n9rs=")</f>
        <v>#VALUE!</v>
      </c>
      <c r="GG9" t="e">
        <f>AND(Sheet1!X73,"AAAAAH/n9rw=")</f>
        <v>#VALUE!</v>
      </c>
      <c r="GH9" t="e">
        <f>AND(Sheet1!#REF!,"AAAAAH/n9r0=")</f>
        <v>#REF!</v>
      </c>
      <c r="GI9" t="e">
        <f>AND(Sheet1!#REF!,"AAAAAH/n9r4=")</f>
        <v>#REF!</v>
      </c>
      <c r="GJ9" t="e">
        <f>AND(Sheet1!Y73,"AAAAAH/n9r8=")</f>
        <v>#VALUE!</v>
      </c>
      <c r="GK9" t="e">
        <f>AND(Sheet1!Z73,"AAAAAH/n9sA=")</f>
        <v>#VALUE!</v>
      </c>
      <c r="GL9" t="e">
        <f>AND(Sheet1!AA73,"AAAAAH/n9sE=")</f>
        <v>#VALUE!</v>
      </c>
      <c r="GM9" t="e">
        <f>AND(Sheet1!AB73,"AAAAAH/n9sI=")</f>
        <v>#VALUE!</v>
      </c>
      <c r="GN9" t="e">
        <f>AND(Sheet1!AC73,"AAAAAH/n9sM=")</f>
        <v>#VALUE!</v>
      </c>
      <c r="GO9">
        <f>IF(Sheet1!74:74,"AAAAAH/n9sQ=",0)</f>
        <v>0</v>
      </c>
      <c r="GP9" t="e">
        <f>AND(Sheet1!A74,"AAAAAH/n9sU=")</f>
        <v>#VALUE!</v>
      </c>
      <c r="GQ9" t="e">
        <f>AND(Sheet1!B74,"AAAAAH/n9sY=")</f>
        <v>#VALUE!</v>
      </c>
      <c r="GR9" t="e">
        <f>AND(Sheet1!C74,"AAAAAH/n9sc=")</f>
        <v>#VALUE!</v>
      </c>
      <c r="GS9" t="e">
        <f>AND(Sheet1!D74,"AAAAAH/n9sg=")</f>
        <v>#VALUE!</v>
      </c>
      <c r="GT9" t="e">
        <f>AND(Sheet1!E74,"AAAAAH/n9sk=")</f>
        <v>#VALUE!</v>
      </c>
      <c r="GU9" t="e">
        <f>AND(Sheet1!F74,"AAAAAH/n9so=")</f>
        <v>#VALUE!</v>
      </c>
      <c r="GV9" t="e">
        <f>AND(Sheet1!G74,"AAAAAH/n9ss=")</f>
        <v>#VALUE!</v>
      </c>
      <c r="GW9" t="e">
        <f>AND(Sheet1!H74,"AAAAAH/n9sw=")</f>
        <v>#VALUE!</v>
      </c>
      <c r="GX9" t="e">
        <f>AND(Sheet1!I74,"AAAAAH/n9s0=")</f>
        <v>#VALUE!</v>
      </c>
      <c r="GY9" t="e">
        <f>AND(Sheet1!J74,"AAAAAH/n9s4=")</f>
        <v>#VALUE!</v>
      </c>
      <c r="GZ9" t="e">
        <f>AND(Sheet1!K74,"AAAAAH/n9s8=")</f>
        <v>#VALUE!</v>
      </c>
      <c r="HA9" t="e">
        <f>AND(Sheet1!L74,"AAAAAH/n9tA=")</f>
        <v>#VALUE!</v>
      </c>
      <c r="HB9" t="e">
        <f>AND(Sheet1!M74,"AAAAAH/n9tE=")</f>
        <v>#VALUE!</v>
      </c>
      <c r="HC9" t="e">
        <f>AND(Sheet1!N74,"AAAAAH/n9tI=")</f>
        <v>#VALUE!</v>
      </c>
      <c r="HD9" t="e">
        <f>AND(Sheet1!#REF!,"AAAAAH/n9tM=")</f>
        <v>#REF!</v>
      </c>
      <c r="HE9" t="e">
        <f>AND(Sheet1!#REF!,"AAAAAH/n9tQ=")</f>
        <v>#REF!</v>
      </c>
      <c r="HF9" t="e">
        <f>AND(Sheet1!O74,"AAAAAH/n9tU=")</f>
        <v>#VALUE!</v>
      </c>
      <c r="HG9" t="e">
        <f>AND(Sheet1!Q74,"AAAAAH/n9tY=")</f>
        <v>#VALUE!</v>
      </c>
      <c r="HH9" t="e">
        <f>AND(Sheet1!R74,"AAAAAH/n9tc=")</f>
        <v>#VALUE!</v>
      </c>
      <c r="HI9" t="e">
        <f>AND(Sheet1!S74,"AAAAAH/n9tg=")</f>
        <v>#VALUE!</v>
      </c>
      <c r="HJ9" t="e">
        <f>AND(Sheet1!T74,"AAAAAH/n9tk=")</f>
        <v>#VALUE!</v>
      </c>
      <c r="HK9" t="e">
        <f>AND(Sheet1!U74,"AAAAAH/n9to=")</f>
        <v>#VALUE!</v>
      </c>
      <c r="HL9" t="e">
        <f>AND(Sheet1!V74,"AAAAAH/n9ts=")</f>
        <v>#VALUE!</v>
      </c>
      <c r="HM9" t="e">
        <f>AND(Sheet1!W74,"AAAAAH/n9tw=")</f>
        <v>#VALUE!</v>
      </c>
      <c r="HN9" t="e">
        <f>AND(Sheet1!X74,"AAAAAH/n9t0=")</f>
        <v>#VALUE!</v>
      </c>
      <c r="HO9" t="e">
        <f>AND(Sheet1!#REF!,"AAAAAH/n9t4=")</f>
        <v>#REF!</v>
      </c>
      <c r="HP9" t="e">
        <f>AND(Sheet1!#REF!,"AAAAAH/n9t8=")</f>
        <v>#REF!</v>
      </c>
      <c r="HQ9" t="e">
        <f>AND(Sheet1!Y74,"AAAAAH/n9uA=")</f>
        <v>#VALUE!</v>
      </c>
      <c r="HR9" t="e">
        <f>AND(Sheet1!Z74,"AAAAAH/n9uE=")</f>
        <v>#VALUE!</v>
      </c>
      <c r="HS9" t="e">
        <f>AND(Sheet1!AA74,"AAAAAH/n9uI=")</f>
        <v>#VALUE!</v>
      </c>
      <c r="HT9" t="e">
        <f>AND(Sheet1!AB74,"AAAAAH/n9uM=")</f>
        <v>#VALUE!</v>
      </c>
      <c r="HU9" t="e">
        <f>AND(Sheet1!AC74,"AAAAAH/n9uQ=")</f>
        <v>#VALUE!</v>
      </c>
      <c r="HV9">
        <f>IF(Sheet1!75:75,"AAAAAH/n9uU=",0)</f>
        <v>0</v>
      </c>
      <c r="HW9" t="e">
        <f>AND(Sheet1!A75,"AAAAAH/n9uY=")</f>
        <v>#VALUE!</v>
      </c>
      <c r="HX9" t="e">
        <f>AND(Sheet1!B75,"AAAAAH/n9uc=")</f>
        <v>#VALUE!</v>
      </c>
      <c r="HY9" t="e">
        <f>AND(Sheet1!C75,"AAAAAH/n9ug=")</f>
        <v>#VALUE!</v>
      </c>
      <c r="HZ9" t="e">
        <f>AND(Sheet1!D75,"AAAAAH/n9uk=")</f>
        <v>#VALUE!</v>
      </c>
      <c r="IA9" t="e">
        <f>AND(Sheet1!E75,"AAAAAH/n9uo=")</f>
        <v>#VALUE!</v>
      </c>
      <c r="IB9" t="e">
        <f>AND(Sheet1!F75,"AAAAAH/n9us=")</f>
        <v>#VALUE!</v>
      </c>
      <c r="IC9" t="e">
        <f>AND(Sheet1!G75,"AAAAAH/n9uw=")</f>
        <v>#VALUE!</v>
      </c>
      <c r="ID9" t="e">
        <f>AND(Sheet1!H75,"AAAAAH/n9u0=")</f>
        <v>#VALUE!</v>
      </c>
      <c r="IE9" t="e">
        <f>AND(Sheet1!I75,"AAAAAH/n9u4=")</f>
        <v>#VALUE!</v>
      </c>
      <c r="IF9" t="e">
        <f>AND(Sheet1!J75,"AAAAAH/n9u8=")</f>
        <v>#VALUE!</v>
      </c>
      <c r="IG9" t="e">
        <f>AND(Sheet1!K75,"AAAAAH/n9vA=")</f>
        <v>#VALUE!</v>
      </c>
      <c r="IH9" t="e">
        <f>AND(Sheet1!L75,"AAAAAH/n9vE=")</f>
        <v>#VALUE!</v>
      </c>
      <c r="II9" t="e">
        <f>AND(Sheet1!M75,"AAAAAH/n9vI=")</f>
        <v>#VALUE!</v>
      </c>
      <c r="IJ9" t="e">
        <f>AND(Sheet1!N75,"AAAAAH/n9vM=")</f>
        <v>#VALUE!</v>
      </c>
      <c r="IK9" t="e">
        <f>AND(Sheet1!#REF!,"AAAAAH/n9vQ=")</f>
        <v>#REF!</v>
      </c>
      <c r="IL9" t="e">
        <f>AND(Sheet1!#REF!,"AAAAAH/n9vU=")</f>
        <v>#REF!</v>
      </c>
      <c r="IM9" t="e">
        <f>AND(Sheet1!O75,"AAAAAH/n9vY=")</f>
        <v>#VALUE!</v>
      </c>
      <c r="IN9" t="e">
        <f>AND(Sheet1!Q75,"AAAAAH/n9vc=")</f>
        <v>#VALUE!</v>
      </c>
      <c r="IO9" t="e">
        <f>AND(Sheet1!R75,"AAAAAH/n9vg=")</f>
        <v>#VALUE!</v>
      </c>
      <c r="IP9" t="e">
        <f>AND(Sheet1!S75,"AAAAAH/n9vk=")</f>
        <v>#VALUE!</v>
      </c>
      <c r="IQ9" t="e">
        <f>AND(Sheet1!T75,"AAAAAH/n9vo=")</f>
        <v>#VALUE!</v>
      </c>
      <c r="IR9" t="e">
        <f>AND(Sheet1!U75,"AAAAAH/n9vs=")</f>
        <v>#VALUE!</v>
      </c>
      <c r="IS9" t="e">
        <f>AND(Sheet1!V75,"AAAAAH/n9vw=")</f>
        <v>#VALUE!</v>
      </c>
      <c r="IT9" t="e">
        <f>AND(Sheet1!W75,"AAAAAH/n9v0=")</f>
        <v>#VALUE!</v>
      </c>
      <c r="IU9" t="e">
        <f>AND(Sheet1!X75,"AAAAAH/n9v4=")</f>
        <v>#VALUE!</v>
      </c>
      <c r="IV9" t="e">
        <f>AND(Sheet1!#REF!,"AAAAAH/n9v8=")</f>
        <v>#REF!</v>
      </c>
    </row>
    <row r="10" spans="1:256" x14ac:dyDescent="0.25">
      <c r="A10" t="e">
        <f>AND(Sheet1!#REF!,"AAAAADvT/wA=")</f>
        <v>#REF!</v>
      </c>
      <c r="B10" t="e">
        <f>AND(Sheet1!Y75,"AAAAADvT/wE=")</f>
        <v>#VALUE!</v>
      </c>
      <c r="C10" t="e">
        <f>AND(Sheet1!Z75,"AAAAADvT/wI=")</f>
        <v>#VALUE!</v>
      </c>
      <c r="D10" t="e">
        <f>AND(Sheet1!AA75,"AAAAADvT/wM=")</f>
        <v>#VALUE!</v>
      </c>
      <c r="E10" t="e">
        <f>AND(Sheet1!AB75,"AAAAADvT/wQ=")</f>
        <v>#VALUE!</v>
      </c>
      <c r="F10" t="e">
        <f>AND(Sheet1!AC75,"AAAAADvT/wU=")</f>
        <v>#VALUE!</v>
      </c>
      <c r="G10">
        <f>IF(Sheet1!76:76,"AAAAADvT/wY=",0)</f>
        <v>0</v>
      </c>
      <c r="H10" t="e">
        <f>AND(Sheet1!A76,"AAAAADvT/wc=")</f>
        <v>#VALUE!</v>
      </c>
      <c r="I10" t="e">
        <f>AND(Sheet1!B76,"AAAAADvT/wg=")</f>
        <v>#VALUE!</v>
      </c>
      <c r="J10" t="e">
        <f>AND(Sheet1!C76,"AAAAADvT/wk=")</f>
        <v>#VALUE!</v>
      </c>
      <c r="K10" t="e">
        <f>AND(Sheet1!D76,"AAAAADvT/wo=")</f>
        <v>#VALUE!</v>
      </c>
      <c r="L10" t="e">
        <f>AND(Sheet1!E76,"AAAAADvT/ws=")</f>
        <v>#VALUE!</v>
      </c>
      <c r="M10" t="e">
        <f>AND(Sheet1!F76,"AAAAADvT/ww=")</f>
        <v>#VALUE!</v>
      </c>
      <c r="N10" t="e">
        <f>AND(Sheet1!G76,"AAAAADvT/w0=")</f>
        <v>#VALUE!</v>
      </c>
      <c r="O10" t="e">
        <f>AND(Sheet1!H76,"AAAAADvT/w4=")</f>
        <v>#VALUE!</v>
      </c>
      <c r="P10" t="e">
        <f>AND(Sheet1!I76,"AAAAADvT/w8=")</f>
        <v>#VALUE!</v>
      </c>
      <c r="Q10" t="e">
        <f>AND(Sheet1!J76,"AAAAADvT/xA=")</f>
        <v>#VALUE!</v>
      </c>
      <c r="R10" t="e">
        <f>AND(Sheet1!K76,"AAAAADvT/xE=")</f>
        <v>#VALUE!</v>
      </c>
      <c r="S10" t="e">
        <f>AND(Sheet1!L76,"AAAAADvT/xI=")</f>
        <v>#VALUE!</v>
      </c>
      <c r="T10" t="e">
        <f>AND(Sheet1!M76,"AAAAADvT/xM=")</f>
        <v>#VALUE!</v>
      </c>
      <c r="U10" t="e">
        <f>AND(Sheet1!N76,"AAAAADvT/xQ=")</f>
        <v>#VALUE!</v>
      </c>
      <c r="V10" t="e">
        <f>AND(Sheet1!#REF!,"AAAAADvT/xU=")</f>
        <v>#REF!</v>
      </c>
      <c r="W10" t="e">
        <f>AND(Sheet1!#REF!,"AAAAADvT/xY=")</f>
        <v>#REF!</v>
      </c>
      <c r="X10" t="e">
        <f>AND(Sheet1!O76,"AAAAADvT/xc=")</f>
        <v>#VALUE!</v>
      </c>
      <c r="Y10" t="e">
        <f>AND(Sheet1!Q76,"AAAAADvT/xg=")</f>
        <v>#VALUE!</v>
      </c>
      <c r="Z10" t="e">
        <f>AND(Sheet1!R76,"AAAAADvT/xk=")</f>
        <v>#VALUE!</v>
      </c>
      <c r="AA10" t="e">
        <f>AND(Sheet1!S76,"AAAAADvT/xo=")</f>
        <v>#VALUE!</v>
      </c>
      <c r="AB10" t="e">
        <f>AND(Sheet1!T76,"AAAAADvT/xs=")</f>
        <v>#VALUE!</v>
      </c>
      <c r="AC10" t="e">
        <f>AND(Sheet1!U76,"AAAAADvT/xw=")</f>
        <v>#VALUE!</v>
      </c>
      <c r="AD10" t="e">
        <f>AND(Sheet1!V76,"AAAAADvT/x0=")</f>
        <v>#VALUE!</v>
      </c>
      <c r="AE10" t="e">
        <f>AND(Sheet1!W76,"AAAAADvT/x4=")</f>
        <v>#VALUE!</v>
      </c>
      <c r="AF10" t="e">
        <f>AND(Sheet1!X76,"AAAAADvT/x8=")</f>
        <v>#VALUE!</v>
      </c>
      <c r="AG10" t="e">
        <f>AND(Sheet1!#REF!,"AAAAADvT/yA=")</f>
        <v>#REF!</v>
      </c>
      <c r="AH10" t="e">
        <f>AND(Sheet1!#REF!,"AAAAADvT/yE=")</f>
        <v>#REF!</v>
      </c>
      <c r="AI10" t="e">
        <f>AND(Sheet1!Y76,"AAAAADvT/yI=")</f>
        <v>#VALUE!</v>
      </c>
      <c r="AJ10" t="e">
        <f>AND(Sheet1!Z76,"AAAAADvT/yM=")</f>
        <v>#VALUE!</v>
      </c>
      <c r="AK10" t="e">
        <f>AND(Sheet1!AA76,"AAAAADvT/yQ=")</f>
        <v>#VALUE!</v>
      </c>
      <c r="AL10" t="e">
        <f>AND(Sheet1!AB76,"AAAAADvT/yU=")</f>
        <v>#VALUE!</v>
      </c>
      <c r="AM10" t="e">
        <f>AND(Sheet1!AC76,"AAAAADvT/yY=")</f>
        <v>#VALUE!</v>
      </c>
      <c r="AN10">
        <f>IF(Sheet1!77:77,"AAAAADvT/yc=",0)</f>
        <v>0</v>
      </c>
      <c r="AO10" t="e">
        <f>AND(Sheet1!A77,"AAAAADvT/yg=")</f>
        <v>#VALUE!</v>
      </c>
      <c r="AP10" t="e">
        <f>AND(Sheet1!B77,"AAAAADvT/yk=")</f>
        <v>#VALUE!</v>
      </c>
      <c r="AQ10" t="e">
        <f>AND(Sheet1!C77,"AAAAADvT/yo=")</f>
        <v>#VALUE!</v>
      </c>
      <c r="AR10" t="e">
        <f>AND(Sheet1!D77,"AAAAADvT/ys=")</f>
        <v>#VALUE!</v>
      </c>
      <c r="AS10" t="e">
        <f>AND(Sheet1!E77,"AAAAADvT/yw=")</f>
        <v>#VALUE!</v>
      </c>
      <c r="AT10" t="e">
        <f>AND(Sheet1!F77,"AAAAADvT/y0=")</f>
        <v>#VALUE!</v>
      </c>
      <c r="AU10" t="e">
        <f>AND(Sheet1!G77,"AAAAADvT/y4=")</f>
        <v>#VALUE!</v>
      </c>
      <c r="AV10" t="e">
        <f>AND(Sheet1!H77,"AAAAADvT/y8=")</f>
        <v>#VALUE!</v>
      </c>
      <c r="AW10" t="e">
        <f>AND(Sheet1!I77,"AAAAADvT/zA=")</f>
        <v>#VALUE!</v>
      </c>
      <c r="AX10" t="e">
        <f>AND(Sheet1!J77,"AAAAADvT/zE=")</f>
        <v>#VALUE!</v>
      </c>
      <c r="AY10" t="e">
        <f>AND(Sheet1!K77,"AAAAADvT/zI=")</f>
        <v>#VALUE!</v>
      </c>
      <c r="AZ10" t="e">
        <f>AND(Sheet1!L77,"AAAAADvT/zM=")</f>
        <v>#VALUE!</v>
      </c>
      <c r="BA10" t="e">
        <f>AND(Sheet1!M77,"AAAAADvT/zQ=")</f>
        <v>#VALUE!</v>
      </c>
      <c r="BB10" t="e">
        <f>AND(Sheet1!N77,"AAAAADvT/zU=")</f>
        <v>#VALUE!</v>
      </c>
      <c r="BC10" t="e">
        <f>AND(Sheet1!#REF!,"AAAAADvT/zY=")</f>
        <v>#REF!</v>
      </c>
      <c r="BD10" t="e">
        <f>AND(Sheet1!#REF!,"AAAAADvT/zc=")</f>
        <v>#REF!</v>
      </c>
      <c r="BE10" t="e">
        <f>AND(Sheet1!O77,"AAAAADvT/zg=")</f>
        <v>#VALUE!</v>
      </c>
      <c r="BF10" t="e">
        <f>AND(Sheet1!Q77,"AAAAADvT/zk=")</f>
        <v>#VALUE!</v>
      </c>
      <c r="BG10" t="e">
        <f>AND(Sheet1!R77,"AAAAADvT/zo=")</f>
        <v>#VALUE!</v>
      </c>
      <c r="BH10" t="e">
        <f>AND(Sheet1!S77,"AAAAADvT/zs=")</f>
        <v>#VALUE!</v>
      </c>
      <c r="BI10" t="e">
        <f>AND(Sheet1!T77,"AAAAADvT/zw=")</f>
        <v>#VALUE!</v>
      </c>
      <c r="BJ10" t="e">
        <f>AND(Sheet1!U77,"AAAAADvT/z0=")</f>
        <v>#VALUE!</v>
      </c>
      <c r="BK10" t="e">
        <f>AND(Sheet1!V77,"AAAAADvT/z4=")</f>
        <v>#VALUE!</v>
      </c>
      <c r="BL10" t="e">
        <f>AND(Sheet1!W77,"AAAAADvT/z8=")</f>
        <v>#VALUE!</v>
      </c>
      <c r="BM10" t="e">
        <f>AND(Sheet1!X77,"AAAAADvT/0A=")</f>
        <v>#VALUE!</v>
      </c>
      <c r="BN10" t="e">
        <f>AND(Sheet1!#REF!,"AAAAADvT/0E=")</f>
        <v>#REF!</v>
      </c>
      <c r="BO10" t="e">
        <f>AND(Sheet1!#REF!,"AAAAADvT/0I=")</f>
        <v>#REF!</v>
      </c>
      <c r="BP10" t="e">
        <f>AND(Sheet1!Y77,"AAAAADvT/0M=")</f>
        <v>#VALUE!</v>
      </c>
      <c r="BQ10" t="e">
        <f>AND(Sheet1!Z77,"AAAAADvT/0Q=")</f>
        <v>#VALUE!</v>
      </c>
      <c r="BR10" t="e">
        <f>AND(Sheet1!AA77,"AAAAADvT/0U=")</f>
        <v>#VALUE!</v>
      </c>
      <c r="BS10" t="e">
        <f>AND(Sheet1!AB77,"AAAAADvT/0Y=")</f>
        <v>#VALUE!</v>
      </c>
      <c r="BT10" t="e">
        <f>AND(Sheet1!AC77,"AAAAADvT/0c=")</f>
        <v>#VALUE!</v>
      </c>
      <c r="BU10">
        <f>IF(Sheet1!78:78,"AAAAADvT/0g=",0)</f>
        <v>0</v>
      </c>
      <c r="BV10" t="e">
        <f>AND(Sheet1!A78,"AAAAADvT/0k=")</f>
        <v>#VALUE!</v>
      </c>
      <c r="BW10" t="e">
        <f>AND(Sheet1!B78,"AAAAADvT/0o=")</f>
        <v>#VALUE!</v>
      </c>
      <c r="BX10" t="e">
        <f>AND(Sheet1!C78,"AAAAADvT/0s=")</f>
        <v>#VALUE!</v>
      </c>
      <c r="BY10" t="e">
        <f>AND(Sheet1!D78,"AAAAADvT/0w=")</f>
        <v>#VALUE!</v>
      </c>
      <c r="BZ10" t="e">
        <f>AND(Sheet1!E78,"AAAAADvT/00=")</f>
        <v>#VALUE!</v>
      </c>
      <c r="CA10" t="e">
        <f>AND(Sheet1!F78,"AAAAADvT/04=")</f>
        <v>#VALUE!</v>
      </c>
      <c r="CB10" t="e">
        <f>AND(Sheet1!G78,"AAAAADvT/08=")</f>
        <v>#VALUE!</v>
      </c>
      <c r="CC10" t="e">
        <f>AND(Sheet1!H78,"AAAAADvT/1A=")</f>
        <v>#VALUE!</v>
      </c>
      <c r="CD10" t="e">
        <f>AND(Sheet1!I78,"AAAAADvT/1E=")</f>
        <v>#VALUE!</v>
      </c>
      <c r="CE10" t="e">
        <f>AND(Sheet1!J78,"AAAAADvT/1I=")</f>
        <v>#VALUE!</v>
      </c>
      <c r="CF10" t="e">
        <f>AND(Sheet1!K78,"AAAAADvT/1M=")</f>
        <v>#VALUE!</v>
      </c>
      <c r="CG10" t="e">
        <f>AND(Sheet1!L78,"AAAAADvT/1Q=")</f>
        <v>#VALUE!</v>
      </c>
      <c r="CH10" t="e">
        <f>AND(Sheet1!M78,"AAAAADvT/1U=")</f>
        <v>#VALUE!</v>
      </c>
      <c r="CI10" t="e">
        <f>AND(Sheet1!N78,"AAAAADvT/1Y=")</f>
        <v>#VALUE!</v>
      </c>
      <c r="CJ10" t="e">
        <f>AND(Sheet1!#REF!,"AAAAADvT/1c=")</f>
        <v>#REF!</v>
      </c>
      <c r="CK10" t="e">
        <f>AND(Sheet1!#REF!,"AAAAADvT/1g=")</f>
        <v>#REF!</v>
      </c>
      <c r="CL10" t="e">
        <f>AND(Sheet1!O78,"AAAAADvT/1k=")</f>
        <v>#VALUE!</v>
      </c>
      <c r="CM10" t="e">
        <f>AND(Sheet1!Q78,"AAAAADvT/1o=")</f>
        <v>#VALUE!</v>
      </c>
      <c r="CN10" t="e">
        <f>AND(Sheet1!R78,"AAAAADvT/1s=")</f>
        <v>#VALUE!</v>
      </c>
      <c r="CO10" t="e">
        <f>AND(Sheet1!S78,"AAAAADvT/1w=")</f>
        <v>#VALUE!</v>
      </c>
      <c r="CP10" t="e">
        <f>AND(Sheet1!T78,"AAAAADvT/10=")</f>
        <v>#VALUE!</v>
      </c>
      <c r="CQ10" t="e">
        <f>AND(Sheet1!U78,"AAAAADvT/14=")</f>
        <v>#VALUE!</v>
      </c>
      <c r="CR10" t="e">
        <f>AND(Sheet1!V78,"AAAAADvT/18=")</f>
        <v>#VALUE!</v>
      </c>
      <c r="CS10" t="e">
        <f>AND(Sheet1!W78,"AAAAADvT/2A=")</f>
        <v>#VALUE!</v>
      </c>
      <c r="CT10" t="e">
        <f>AND(Sheet1!X78,"AAAAADvT/2E=")</f>
        <v>#VALUE!</v>
      </c>
      <c r="CU10" t="e">
        <f>AND(Sheet1!#REF!,"AAAAADvT/2I=")</f>
        <v>#REF!</v>
      </c>
      <c r="CV10" t="e">
        <f>AND(Sheet1!#REF!,"AAAAADvT/2M=")</f>
        <v>#REF!</v>
      </c>
      <c r="CW10" t="e">
        <f>AND(Sheet1!Y78,"AAAAADvT/2Q=")</f>
        <v>#VALUE!</v>
      </c>
      <c r="CX10" t="e">
        <f>AND(Sheet1!Z78,"AAAAADvT/2U=")</f>
        <v>#VALUE!</v>
      </c>
      <c r="CY10" t="e">
        <f>AND(Sheet1!AA78,"AAAAADvT/2Y=")</f>
        <v>#VALUE!</v>
      </c>
      <c r="CZ10" t="e">
        <f>AND(Sheet1!AB78,"AAAAADvT/2c=")</f>
        <v>#VALUE!</v>
      </c>
      <c r="DA10" t="e">
        <f>AND(Sheet1!AC78,"AAAAADvT/2g=")</f>
        <v>#VALUE!</v>
      </c>
      <c r="DB10">
        <f>IF(Sheet1!79:79,"AAAAADvT/2k=",0)</f>
        <v>0</v>
      </c>
      <c r="DC10" t="e">
        <f>AND(Sheet1!A79,"AAAAADvT/2o=")</f>
        <v>#VALUE!</v>
      </c>
      <c r="DD10" t="e">
        <f>AND(Sheet1!B79,"AAAAADvT/2s=")</f>
        <v>#VALUE!</v>
      </c>
      <c r="DE10" t="e">
        <f>AND(Sheet1!C79,"AAAAADvT/2w=")</f>
        <v>#VALUE!</v>
      </c>
      <c r="DF10" t="e">
        <f>AND(Sheet1!D79,"AAAAADvT/20=")</f>
        <v>#VALUE!</v>
      </c>
      <c r="DG10" t="e">
        <f>AND(Sheet1!E79,"AAAAADvT/24=")</f>
        <v>#VALUE!</v>
      </c>
      <c r="DH10" t="e">
        <f>AND(Sheet1!F79,"AAAAADvT/28=")</f>
        <v>#VALUE!</v>
      </c>
      <c r="DI10" t="e">
        <f>AND(Sheet1!G79,"AAAAADvT/3A=")</f>
        <v>#VALUE!</v>
      </c>
      <c r="DJ10" t="e">
        <f>AND(Sheet1!H79,"AAAAADvT/3E=")</f>
        <v>#VALUE!</v>
      </c>
      <c r="DK10" t="e">
        <f>AND(Sheet1!I79,"AAAAADvT/3I=")</f>
        <v>#VALUE!</v>
      </c>
      <c r="DL10" t="e">
        <f>AND(Sheet1!J79,"AAAAADvT/3M=")</f>
        <v>#VALUE!</v>
      </c>
      <c r="DM10" t="e">
        <f>AND(Sheet1!K79,"AAAAADvT/3Q=")</f>
        <v>#VALUE!</v>
      </c>
      <c r="DN10" t="e">
        <f>AND(Sheet1!L79,"AAAAADvT/3U=")</f>
        <v>#VALUE!</v>
      </c>
      <c r="DO10" t="e">
        <f>AND(Sheet1!M79,"AAAAADvT/3Y=")</f>
        <v>#VALUE!</v>
      </c>
      <c r="DP10" t="e">
        <f>AND(Sheet1!N79,"AAAAADvT/3c=")</f>
        <v>#VALUE!</v>
      </c>
      <c r="DQ10" t="e">
        <f>AND(Sheet1!#REF!,"AAAAADvT/3g=")</f>
        <v>#REF!</v>
      </c>
      <c r="DR10" t="e">
        <f>AND(Sheet1!#REF!,"AAAAADvT/3k=")</f>
        <v>#REF!</v>
      </c>
      <c r="DS10" t="e">
        <f>AND(Sheet1!O79,"AAAAADvT/3o=")</f>
        <v>#VALUE!</v>
      </c>
      <c r="DT10" t="e">
        <f>AND(Sheet1!Q79,"AAAAADvT/3s=")</f>
        <v>#VALUE!</v>
      </c>
      <c r="DU10" t="e">
        <f>AND(Sheet1!R79,"AAAAADvT/3w=")</f>
        <v>#VALUE!</v>
      </c>
      <c r="DV10" t="e">
        <f>AND(Sheet1!S79,"AAAAADvT/30=")</f>
        <v>#VALUE!</v>
      </c>
      <c r="DW10" t="e">
        <f>AND(Sheet1!T79,"AAAAADvT/34=")</f>
        <v>#VALUE!</v>
      </c>
      <c r="DX10" t="e">
        <f>AND(Sheet1!U79,"AAAAADvT/38=")</f>
        <v>#VALUE!</v>
      </c>
      <c r="DY10" t="e">
        <f>AND(Sheet1!V79,"AAAAADvT/4A=")</f>
        <v>#VALUE!</v>
      </c>
      <c r="DZ10" t="e">
        <f>AND(Sheet1!W79,"AAAAADvT/4E=")</f>
        <v>#VALUE!</v>
      </c>
      <c r="EA10" t="e">
        <f>AND(Sheet1!X79,"AAAAADvT/4I=")</f>
        <v>#VALUE!</v>
      </c>
      <c r="EB10" t="e">
        <f>AND(Sheet1!#REF!,"AAAAADvT/4M=")</f>
        <v>#REF!</v>
      </c>
      <c r="EC10" t="e">
        <f>AND(Sheet1!#REF!,"AAAAADvT/4Q=")</f>
        <v>#REF!</v>
      </c>
      <c r="ED10" t="e">
        <f>AND(Sheet1!Y79,"AAAAADvT/4U=")</f>
        <v>#VALUE!</v>
      </c>
      <c r="EE10" t="e">
        <f>AND(Sheet1!Z79,"AAAAADvT/4Y=")</f>
        <v>#VALUE!</v>
      </c>
      <c r="EF10" t="e">
        <f>AND(Sheet1!AA79,"AAAAADvT/4c=")</f>
        <v>#VALUE!</v>
      </c>
      <c r="EG10" t="e">
        <f>AND(Sheet1!AB79,"AAAAADvT/4g=")</f>
        <v>#VALUE!</v>
      </c>
      <c r="EH10" t="e">
        <f>AND(Sheet1!AC79,"AAAAADvT/4k=")</f>
        <v>#VALUE!</v>
      </c>
      <c r="EI10">
        <f>IF(Sheet1!80:80,"AAAAADvT/4o=",0)</f>
        <v>0</v>
      </c>
      <c r="EJ10" t="e">
        <f>AND(Sheet1!A80,"AAAAADvT/4s=")</f>
        <v>#VALUE!</v>
      </c>
      <c r="EK10" t="e">
        <f>AND(Sheet1!B80,"AAAAADvT/4w=")</f>
        <v>#VALUE!</v>
      </c>
      <c r="EL10" t="e">
        <f>AND(Sheet1!C80,"AAAAADvT/40=")</f>
        <v>#VALUE!</v>
      </c>
      <c r="EM10" t="e">
        <f>AND(Sheet1!D80,"AAAAADvT/44=")</f>
        <v>#VALUE!</v>
      </c>
      <c r="EN10" t="e">
        <f>AND(Sheet1!E80,"AAAAADvT/48=")</f>
        <v>#VALUE!</v>
      </c>
      <c r="EO10" t="e">
        <f>AND(Sheet1!F80,"AAAAADvT/5A=")</f>
        <v>#VALUE!</v>
      </c>
      <c r="EP10" t="e">
        <f>AND(Sheet1!G80,"AAAAADvT/5E=")</f>
        <v>#VALUE!</v>
      </c>
      <c r="EQ10" t="e">
        <f>AND(Sheet1!H80,"AAAAADvT/5I=")</f>
        <v>#VALUE!</v>
      </c>
      <c r="ER10" t="e">
        <f>AND(Sheet1!I80,"AAAAADvT/5M=")</f>
        <v>#VALUE!</v>
      </c>
      <c r="ES10" t="e">
        <f>AND(Sheet1!J80,"AAAAADvT/5Q=")</f>
        <v>#VALUE!</v>
      </c>
      <c r="ET10" t="e">
        <f>AND(Sheet1!K80,"AAAAADvT/5U=")</f>
        <v>#VALUE!</v>
      </c>
      <c r="EU10" t="e">
        <f>AND(Sheet1!L80,"AAAAADvT/5Y=")</f>
        <v>#VALUE!</v>
      </c>
      <c r="EV10" t="e">
        <f>AND(Sheet1!M80,"AAAAADvT/5c=")</f>
        <v>#VALUE!</v>
      </c>
      <c r="EW10" t="e">
        <f>AND(Sheet1!N80,"AAAAADvT/5g=")</f>
        <v>#VALUE!</v>
      </c>
      <c r="EX10" t="e">
        <f>AND(Sheet1!#REF!,"AAAAADvT/5k=")</f>
        <v>#REF!</v>
      </c>
      <c r="EY10" t="e">
        <f>AND(Sheet1!#REF!,"AAAAADvT/5o=")</f>
        <v>#REF!</v>
      </c>
      <c r="EZ10" t="e">
        <f>AND(Sheet1!O80,"AAAAADvT/5s=")</f>
        <v>#VALUE!</v>
      </c>
      <c r="FA10" t="e">
        <f>AND(Sheet1!Q80,"AAAAADvT/5w=")</f>
        <v>#VALUE!</v>
      </c>
      <c r="FB10" t="e">
        <f>AND(Sheet1!R80,"AAAAADvT/50=")</f>
        <v>#VALUE!</v>
      </c>
      <c r="FC10" t="e">
        <f>AND(Sheet1!S80,"AAAAADvT/54=")</f>
        <v>#VALUE!</v>
      </c>
      <c r="FD10" t="e">
        <f>AND(Sheet1!T80,"AAAAADvT/58=")</f>
        <v>#VALUE!</v>
      </c>
      <c r="FE10" t="e">
        <f>AND(Sheet1!U80,"AAAAADvT/6A=")</f>
        <v>#VALUE!</v>
      </c>
      <c r="FF10" t="e">
        <f>AND(Sheet1!V80,"AAAAADvT/6E=")</f>
        <v>#VALUE!</v>
      </c>
      <c r="FG10" t="e">
        <f>AND(Sheet1!W80,"AAAAADvT/6I=")</f>
        <v>#VALUE!</v>
      </c>
      <c r="FH10" t="e">
        <f>AND(Sheet1!X80,"AAAAADvT/6M=")</f>
        <v>#VALUE!</v>
      </c>
      <c r="FI10" t="e">
        <f>AND(Sheet1!#REF!,"AAAAADvT/6Q=")</f>
        <v>#REF!</v>
      </c>
      <c r="FJ10" t="e">
        <f>AND(Sheet1!#REF!,"AAAAADvT/6U=")</f>
        <v>#REF!</v>
      </c>
      <c r="FK10" t="e">
        <f>AND(Sheet1!Y80,"AAAAADvT/6Y=")</f>
        <v>#VALUE!</v>
      </c>
      <c r="FL10" t="e">
        <f>AND(Sheet1!Z80,"AAAAADvT/6c=")</f>
        <v>#VALUE!</v>
      </c>
      <c r="FM10" t="e">
        <f>AND(Sheet1!AA80,"AAAAADvT/6g=")</f>
        <v>#VALUE!</v>
      </c>
      <c r="FN10" t="e">
        <f>AND(Sheet1!AB80,"AAAAADvT/6k=")</f>
        <v>#VALUE!</v>
      </c>
      <c r="FO10" t="e">
        <f>AND(Sheet1!AC80,"AAAAADvT/6o=")</f>
        <v>#VALUE!</v>
      </c>
      <c r="FP10">
        <f>IF(Sheet1!81:81,"AAAAADvT/6s=",0)</f>
        <v>0</v>
      </c>
      <c r="FQ10" t="e">
        <f>AND(Sheet1!A81,"AAAAADvT/6w=")</f>
        <v>#VALUE!</v>
      </c>
      <c r="FR10" t="e">
        <f>AND(Sheet1!B81,"AAAAADvT/60=")</f>
        <v>#VALUE!</v>
      </c>
      <c r="FS10" t="e">
        <f>AND(Sheet1!C81,"AAAAADvT/64=")</f>
        <v>#VALUE!</v>
      </c>
      <c r="FT10" t="e">
        <f>AND(Sheet1!D81,"AAAAADvT/68=")</f>
        <v>#VALUE!</v>
      </c>
      <c r="FU10" t="e">
        <f>AND(Sheet1!E81,"AAAAADvT/7A=")</f>
        <v>#VALUE!</v>
      </c>
      <c r="FV10" t="e">
        <f>AND(Sheet1!F81,"AAAAADvT/7E=")</f>
        <v>#VALUE!</v>
      </c>
      <c r="FW10" t="e">
        <f>AND(Sheet1!G81,"AAAAADvT/7I=")</f>
        <v>#VALUE!</v>
      </c>
      <c r="FX10" t="e">
        <f>AND(Sheet1!H81,"AAAAADvT/7M=")</f>
        <v>#VALUE!</v>
      </c>
      <c r="FY10" t="e">
        <f>AND(Sheet1!I81,"AAAAADvT/7Q=")</f>
        <v>#VALUE!</v>
      </c>
      <c r="FZ10" t="e">
        <f>AND(Sheet1!J81,"AAAAADvT/7U=")</f>
        <v>#VALUE!</v>
      </c>
      <c r="GA10" t="e">
        <f>AND(Sheet1!K81,"AAAAADvT/7Y=")</f>
        <v>#VALUE!</v>
      </c>
      <c r="GB10" t="e">
        <f>AND(Sheet1!L81,"AAAAADvT/7c=")</f>
        <v>#VALUE!</v>
      </c>
      <c r="GC10" t="e">
        <f>AND(Sheet1!M81,"AAAAADvT/7g=")</f>
        <v>#VALUE!</v>
      </c>
      <c r="GD10" t="e">
        <f>AND(Sheet1!N81,"AAAAADvT/7k=")</f>
        <v>#VALUE!</v>
      </c>
      <c r="GE10" t="e">
        <f>AND(Sheet1!#REF!,"AAAAADvT/7o=")</f>
        <v>#REF!</v>
      </c>
      <c r="GF10" t="e">
        <f>AND(Sheet1!#REF!,"AAAAADvT/7s=")</f>
        <v>#REF!</v>
      </c>
      <c r="GG10" t="e">
        <f>AND(Sheet1!O81,"AAAAADvT/7w=")</f>
        <v>#VALUE!</v>
      </c>
      <c r="GH10" t="e">
        <f>AND(Sheet1!Q81,"AAAAADvT/70=")</f>
        <v>#VALUE!</v>
      </c>
      <c r="GI10" t="e">
        <f>AND(Sheet1!R81,"AAAAADvT/74=")</f>
        <v>#VALUE!</v>
      </c>
      <c r="GJ10" t="e">
        <f>AND(Sheet1!S81,"AAAAADvT/78=")</f>
        <v>#VALUE!</v>
      </c>
      <c r="GK10" t="e">
        <f>AND(Sheet1!T81,"AAAAADvT/8A=")</f>
        <v>#VALUE!</v>
      </c>
      <c r="GL10" t="e">
        <f>AND(Sheet1!U81,"AAAAADvT/8E=")</f>
        <v>#VALUE!</v>
      </c>
      <c r="GM10" t="e">
        <f>AND(Sheet1!V81,"AAAAADvT/8I=")</f>
        <v>#VALUE!</v>
      </c>
      <c r="GN10" t="e">
        <f>AND(Sheet1!W81,"AAAAADvT/8M=")</f>
        <v>#VALUE!</v>
      </c>
      <c r="GO10" t="e">
        <f>AND(Sheet1!X81,"AAAAADvT/8Q=")</f>
        <v>#VALUE!</v>
      </c>
      <c r="GP10" t="e">
        <f>AND(Sheet1!#REF!,"AAAAADvT/8U=")</f>
        <v>#REF!</v>
      </c>
      <c r="GQ10" t="e">
        <f>AND(Sheet1!#REF!,"AAAAADvT/8Y=")</f>
        <v>#REF!</v>
      </c>
      <c r="GR10" t="e">
        <f>AND(Sheet1!Y81,"AAAAADvT/8c=")</f>
        <v>#VALUE!</v>
      </c>
      <c r="GS10" t="e">
        <f>AND(Sheet1!Z81,"AAAAADvT/8g=")</f>
        <v>#VALUE!</v>
      </c>
      <c r="GT10" t="e">
        <f>AND(Sheet1!AA81,"AAAAADvT/8k=")</f>
        <v>#VALUE!</v>
      </c>
      <c r="GU10" t="e">
        <f>AND(Sheet1!AB81,"AAAAADvT/8o=")</f>
        <v>#VALUE!</v>
      </c>
      <c r="GV10" t="e">
        <f>AND(Sheet1!AC81,"AAAAADvT/8s=")</f>
        <v>#VALUE!</v>
      </c>
      <c r="GW10">
        <f>IF(Sheet1!82:82,"AAAAADvT/8w=",0)</f>
        <v>0</v>
      </c>
      <c r="GX10" t="e">
        <f>AND(Sheet1!A82,"AAAAADvT/80=")</f>
        <v>#VALUE!</v>
      </c>
      <c r="GY10" t="e">
        <f>AND(Sheet1!B82,"AAAAADvT/84=")</f>
        <v>#VALUE!</v>
      </c>
      <c r="GZ10" t="e">
        <f>AND(Sheet1!C82,"AAAAADvT/88=")</f>
        <v>#VALUE!</v>
      </c>
      <c r="HA10" t="e">
        <f>AND(Sheet1!D82,"AAAAADvT/9A=")</f>
        <v>#VALUE!</v>
      </c>
      <c r="HB10" t="e">
        <f>AND(Sheet1!E82,"AAAAADvT/9E=")</f>
        <v>#VALUE!</v>
      </c>
      <c r="HC10" t="e">
        <f>AND(Sheet1!F82,"AAAAADvT/9I=")</f>
        <v>#VALUE!</v>
      </c>
      <c r="HD10" t="e">
        <f>AND(Sheet1!G82,"AAAAADvT/9M=")</f>
        <v>#VALUE!</v>
      </c>
      <c r="HE10" t="e">
        <f>AND(Sheet1!H82,"AAAAADvT/9Q=")</f>
        <v>#VALUE!</v>
      </c>
      <c r="HF10" t="e">
        <f>AND(Sheet1!I82,"AAAAADvT/9U=")</f>
        <v>#VALUE!</v>
      </c>
      <c r="HG10" t="e">
        <f>AND(Sheet1!J82,"AAAAADvT/9Y=")</f>
        <v>#VALUE!</v>
      </c>
      <c r="HH10" t="e">
        <f>AND(Sheet1!K82,"AAAAADvT/9c=")</f>
        <v>#VALUE!</v>
      </c>
      <c r="HI10" t="e">
        <f>AND(Sheet1!L82,"AAAAADvT/9g=")</f>
        <v>#VALUE!</v>
      </c>
      <c r="HJ10" t="e">
        <f>AND(Sheet1!M82,"AAAAADvT/9k=")</f>
        <v>#VALUE!</v>
      </c>
      <c r="HK10" t="e">
        <f>AND(Sheet1!N82,"AAAAADvT/9o=")</f>
        <v>#VALUE!</v>
      </c>
      <c r="HL10" t="e">
        <f>AND(Sheet1!#REF!,"AAAAADvT/9s=")</f>
        <v>#REF!</v>
      </c>
      <c r="HM10" t="e">
        <f>AND(Sheet1!#REF!,"AAAAADvT/9w=")</f>
        <v>#REF!</v>
      </c>
      <c r="HN10" t="e">
        <f>AND(Sheet1!O82,"AAAAADvT/90=")</f>
        <v>#VALUE!</v>
      </c>
      <c r="HO10" t="e">
        <f>AND(Sheet1!Q82,"AAAAADvT/94=")</f>
        <v>#VALUE!</v>
      </c>
      <c r="HP10" t="e">
        <f>AND(Sheet1!R82,"AAAAADvT/98=")</f>
        <v>#VALUE!</v>
      </c>
      <c r="HQ10" t="e">
        <f>AND(Sheet1!S82,"AAAAADvT/+A=")</f>
        <v>#VALUE!</v>
      </c>
      <c r="HR10" t="e">
        <f>AND(Sheet1!T82,"AAAAADvT/+E=")</f>
        <v>#VALUE!</v>
      </c>
      <c r="HS10" t="e">
        <f>AND(Sheet1!U82,"AAAAADvT/+I=")</f>
        <v>#VALUE!</v>
      </c>
      <c r="HT10" t="e">
        <f>AND(Sheet1!V82,"AAAAADvT/+M=")</f>
        <v>#VALUE!</v>
      </c>
      <c r="HU10" t="e">
        <f>AND(Sheet1!W82,"AAAAADvT/+Q=")</f>
        <v>#VALUE!</v>
      </c>
      <c r="HV10" t="e">
        <f>AND(Sheet1!X82,"AAAAADvT/+U=")</f>
        <v>#VALUE!</v>
      </c>
      <c r="HW10" t="e">
        <f>AND(Sheet1!#REF!,"AAAAADvT/+Y=")</f>
        <v>#REF!</v>
      </c>
      <c r="HX10" t="e">
        <f>AND(Sheet1!#REF!,"AAAAADvT/+c=")</f>
        <v>#REF!</v>
      </c>
      <c r="HY10" t="e">
        <f>AND(Sheet1!Y82,"AAAAADvT/+g=")</f>
        <v>#VALUE!</v>
      </c>
      <c r="HZ10" t="e">
        <f>AND(Sheet1!Z82,"AAAAADvT/+k=")</f>
        <v>#VALUE!</v>
      </c>
      <c r="IA10" t="e">
        <f>AND(Sheet1!AA82,"AAAAADvT/+o=")</f>
        <v>#VALUE!</v>
      </c>
      <c r="IB10" t="e">
        <f>AND(Sheet1!AB82,"AAAAADvT/+s=")</f>
        <v>#VALUE!</v>
      </c>
      <c r="IC10" t="e">
        <f>AND(Sheet1!AC82,"AAAAADvT/+w=")</f>
        <v>#VALUE!</v>
      </c>
      <c r="ID10">
        <f>IF(Sheet1!83:83,"AAAAADvT/+0=",0)</f>
        <v>0</v>
      </c>
      <c r="IE10" t="e">
        <f>AND(Sheet1!A83,"AAAAADvT/+4=")</f>
        <v>#VALUE!</v>
      </c>
      <c r="IF10" t="e">
        <f>AND(Sheet1!B83,"AAAAADvT/+8=")</f>
        <v>#VALUE!</v>
      </c>
      <c r="IG10" t="e">
        <f>AND(Sheet1!C83,"AAAAADvT//A=")</f>
        <v>#VALUE!</v>
      </c>
      <c r="IH10" t="e">
        <f>AND(Sheet1!D83,"AAAAADvT//E=")</f>
        <v>#VALUE!</v>
      </c>
      <c r="II10" t="e">
        <f>AND(Sheet1!E83,"AAAAADvT//I=")</f>
        <v>#VALUE!</v>
      </c>
      <c r="IJ10" t="e">
        <f>AND(Sheet1!F83,"AAAAADvT//M=")</f>
        <v>#VALUE!</v>
      </c>
      <c r="IK10" t="e">
        <f>AND(Sheet1!G83,"AAAAADvT//Q=")</f>
        <v>#VALUE!</v>
      </c>
      <c r="IL10" t="e">
        <f>AND(Sheet1!H83,"AAAAADvT//U=")</f>
        <v>#VALUE!</v>
      </c>
      <c r="IM10" t="e">
        <f>AND(Sheet1!I83,"AAAAADvT//Y=")</f>
        <v>#VALUE!</v>
      </c>
      <c r="IN10" t="e">
        <f>AND(Sheet1!J83,"AAAAADvT//c=")</f>
        <v>#VALUE!</v>
      </c>
      <c r="IO10" t="e">
        <f>AND(Sheet1!K83,"AAAAADvT//g=")</f>
        <v>#VALUE!</v>
      </c>
      <c r="IP10" t="e">
        <f>AND(Sheet1!L83,"AAAAADvT//k=")</f>
        <v>#VALUE!</v>
      </c>
      <c r="IQ10" t="e">
        <f>AND(Sheet1!M83,"AAAAADvT//o=")</f>
        <v>#VALUE!</v>
      </c>
      <c r="IR10" t="e">
        <f>AND(Sheet1!N83,"AAAAADvT//s=")</f>
        <v>#VALUE!</v>
      </c>
      <c r="IS10" t="e">
        <f>AND(Sheet1!#REF!,"AAAAADvT//w=")</f>
        <v>#REF!</v>
      </c>
      <c r="IT10" t="e">
        <f>AND(Sheet1!#REF!,"AAAAADvT//0=")</f>
        <v>#REF!</v>
      </c>
      <c r="IU10" t="e">
        <f>AND(Sheet1!O83,"AAAAADvT//4=")</f>
        <v>#VALUE!</v>
      </c>
      <c r="IV10" t="e">
        <f>AND(Sheet1!Q83,"AAAAADvT//8=")</f>
        <v>#VALUE!</v>
      </c>
    </row>
    <row r="11" spans="1:256" x14ac:dyDescent="0.25">
      <c r="A11" t="e">
        <f>AND(Sheet1!R83,"AAAAAH1/fgA=")</f>
        <v>#VALUE!</v>
      </c>
      <c r="B11" t="e">
        <f>AND(Sheet1!S83,"AAAAAH1/fgE=")</f>
        <v>#VALUE!</v>
      </c>
      <c r="C11" t="e">
        <f>AND(Sheet1!T83,"AAAAAH1/fgI=")</f>
        <v>#VALUE!</v>
      </c>
      <c r="D11" t="e">
        <f>AND(Sheet1!U83,"AAAAAH1/fgM=")</f>
        <v>#VALUE!</v>
      </c>
      <c r="E11" t="e">
        <f>AND(Sheet1!V83,"AAAAAH1/fgQ=")</f>
        <v>#VALUE!</v>
      </c>
      <c r="F11" t="e">
        <f>AND(Sheet1!W83,"AAAAAH1/fgU=")</f>
        <v>#VALUE!</v>
      </c>
      <c r="G11" t="e">
        <f>AND(Sheet1!X83,"AAAAAH1/fgY=")</f>
        <v>#VALUE!</v>
      </c>
      <c r="H11" t="e">
        <f>AND(Sheet1!#REF!,"AAAAAH1/fgc=")</f>
        <v>#REF!</v>
      </c>
      <c r="I11" t="e">
        <f>AND(Sheet1!#REF!,"AAAAAH1/fgg=")</f>
        <v>#REF!</v>
      </c>
      <c r="J11" t="e">
        <f>AND(Sheet1!Y83,"AAAAAH1/fgk=")</f>
        <v>#VALUE!</v>
      </c>
      <c r="K11" t="e">
        <f>AND(Sheet1!Z83,"AAAAAH1/fgo=")</f>
        <v>#VALUE!</v>
      </c>
      <c r="L11" t="e">
        <f>AND(Sheet1!AA83,"AAAAAH1/fgs=")</f>
        <v>#VALUE!</v>
      </c>
      <c r="M11" t="e">
        <f>AND(Sheet1!AB83,"AAAAAH1/fgw=")</f>
        <v>#VALUE!</v>
      </c>
      <c r="N11" t="e">
        <f>AND(Sheet1!AC83,"AAAAAH1/fg0=")</f>
        <v>#VALUE!</v>
      </c>
      <c r="O11">
        <f>IF(Sheet1!84:84,"AAAAAH1/fg4=",0)</f>
        <v>0</v>
      </c>
      <c r="P11" t="e">
        <f>AND(Sheet1!A84,"AAAAAH1/fg8=")</f>
        <v>#VALUE!</v>
      </c>
      <c r="Q11" t="e">
        <f>AND(Sheet1!B84,"AAAAAH1/fhA=")</f>
        <v>#VALUE!</v>
      </c>
      <c r="R11" t="e">
        <f>AND(Sheet1!C84,"AAAAAH1/fhE=")</f>
        <v>#VALUE!</v>
      </c>
      <c r="S11" t="e">
        <f>AND(Sheet1!D84,"AAAAAH1/fhI=")</f>
        <v>#VALUE!</v>
      </c>
      <c r="T11" t="e">
        <f>AND(Sheet1!E84,"AAAAAH1/fhM=")</f>
        <v>#VALUE!</v>
      </c>
      <c r="U11" t="e">
        <f>AND(Sheet1!F84,"AAAAAH1/fhQ=")</f>
        <v>#VALUE!</v>
      </c>
      <c r="V11" t="e">
        <f>AND(Sheet1!G84,"AAAAAH1/fhU=")</f>
        <v>#VALUE!</v>
      </c>
      <c r="W11" t="e">
        <f>AND(Sheet1!H84,"AAAAAH1/fhY=")</f>
        <v>#VALUE!</v>
      </c>
      <c r="X11" t="e">
        <f>AND(Sheet1!I84,"AAAAAH1/fhc=")</f>
        <v>#VALUE!</v>
      </c>
      <c r="Y11" t="e">
        <f>AND(Sheet1!J84,"AAAAAH1/fhg=")</f>
        <v>#VALUE!</v>
      </c>
      <c r="Z11" t="e">
        <f>AND(Sheet1!K84,"AAAAAH1/fhk=")</f>
        <v>#VALUE!</v>
      </c>
      <c r="AA11" t="e">
        <f>AND(Sheet1!L84,"AAAAAH1/fho=")</f>
        <v>#VALUE!</v>
      </c>
      <c r="AB11" t="e">
        <f>AND(Sheet1!M84,"AAAAAH1/fhs=")</f>
        <v>#VALUE!</v>
      </c>
      <c r="AC11" t="e">
        <f>AND(Sheet1!N84,"AAAAAH1/fhw=")</f>
        <v>#VALUE!</v>
      </c>
      <c r="AD11" t="e">
        <f>AND(Sheet1!#REF!,"AAAAAH1/fh0=")</f>
        <v>#REF!</v>
      </c>
      <c r="AE11" t="e">
        <f>AND(Sheet1!#REF!,"AAAAAH1/fh4=")</f>
        <v>#REF!</v>
      </c>
      <c r="AF11" t="e">
        <f>AND(Sheet1!O84,"AAAAAH1/fh8=")</f>
        <v>#VALUE!</v>
      </c>
      <c r="AG11" t="e">
        <f>AND(Sheet1!Q84,"AAAAAH1/fiA=")</f>
        <v>#VALUE!</v>
      </c>
      <c r="AH11" t="e">
        <f>AND(Sheet1!R84,"AAAAAH1/fiE=")</f>
        <v>#VALUE!</v>
      </c>
      <c r="AI11" t="e">
        <f>AND(Sheet1!S84,"AAAAAH1/fiI=")</f>
        <v>#VALUE!</v>
      </c>
      <c r="AJ11" t="e">
        <f>AND(Sheet1!T84,"AAAAAH1/fiM=")</f>
        <v>#VALUE!</v>
      </c>
      <c r="AK11" t="e">
        <f>AND(Sheet1!U84,"AAAAAH1/fiQ=")</f>
        <v>#VALUE!</v>
      </c>
      <c r="AL11" t="e">
        <f>AND(Sheet1!V84,"AAAAAH1/fiU=")</f>
        <v>#VALUE!</v>
      </c>
      <c r="AM11" t="e">
        <f>AND(Sheet1!W84,"AAAAAH1/fiY=")</f>
        <v>#VALUE!</v>
      </c>
      <c r="AN11" t="e">
        <f>AND(Sheet1!X84,"AAAAAH1/fic=")</f>
        <v>#VALUE!</v>
      </c>
      <c r="AO11" t="e">
        <f>AND(Sheet1!#REF!,"AAAAAH1/fig=")</f>
        <v>#REF!</v>
      </c>
      <c r="AP11" t="e">
        <f>AND(Sheet1!#REF!,"AAAAAH1/fik=")</f>
        <v>#REF!</v>
      </c>
      <c r="AQ11" t="e">
        <f>AND(Sheet1!Y84,"AAAAAH1/fio=")</f>
        <v>#VALUE!</v>
      </c>
      <c r="AR11" t="e">
        <f>AND(Sheet1!Z84,"AAAAAH1/fis=")</f>
        <v>#VALUE!</v>
      </c>
      <c r="AS11" t="e">
        <f>AND(Sheet1!AA84,"AAAAAH1/fiw=")</f>
        <v>#VALUE!</v>
      </c>
      <c r="AT11" t="e">
        <f>AND(Sheet1!AB84,"AAAAAH1/fi0=")</f>
        <v>#VALUE!</v>
      </c>
      <c r="AU11" t="e">
        <f>AND(Sheet1!AC84,"AAAAAH1/fi4=")</f>
        <v>#VALUE!</v>
      </c>
      <c r="AV11">
        <f>IF(Sheet1!85:85,"AAAAAH1/fi8=",0)</f>
        <v>0</v>
      </c>
      <c r="AW11" t="e">
        <f>AND(Sheet1!A85,"AAAAAH1/fjA=")</f>
        <v>#VALUE!</v>
      </c>
      <c r="AX11" t="e">
        <f>AND(Sheet1!B85,"AAAAAH1/fjE=")</f>
        <v>#VALUE!</v>
      </c>
      <c r="AY11" t="e">
        <f>AND(Sheet1!C85,"AAAAAH1/fjI=")</f>
        <v>#VALUE!</v>
      </c>
      <c r="AZ11" t="e">
        <f>AND(Sheet1!D85,"AAAAAH1/fjM=")</f>
        <v>#VALUE!</v>
      </c>
      <c r="BA11" t="e">
        <f>AND(Sheet1!E85,"AAAAAH1/fjQ=")</f>
        <v>#VALUE!</v>
      </c>
      <c r="BB11" t="e">
        <f>AND(Sheet1!F85,"AAAAAH1/fjU=")</f>
        <v>#VALUE!</v>
      </c>
      <c r="BC11" t="e">
        <f>AND(Sheet1!G85,"AAAAAH1/fjY=")</f>
        <v>#VALUE!</v>
      </c>
      <c r="BD11" t="e">
        <f>AND(Sheet1!H85,"AAAAAH1/fjc=")</f>
        <v>#VALUE!</v>
      </c>
      <c r="BE11" t="e">
        <f>AND(Sheet1!I85,"AAAAAH1/fjg=")</f>
        <v>#VALUE!</v>
      </c>
      <c r="BF11" t="e">
        <f>AND(Sheet1!J85,"AAAAAH1/fjk=")</f>
        <v>#VALUE!</v>
      </c>
      <c r="BG11" t="e">
        <f>AND(Sheet1!K85,"AAAAAH1/fjo=")</f>
        <v>#VALUE!</v>
      </c>
      <c r="BH11" t="e">
        <f>AND(Sheet1!L85,"AAAAAH1/fjs=")</f>
        <v>#VALUE!</v>
      </c>
      <c r="BI11" t="e">
        <f>AND(Sheet1!M85,"AAAAAH1/fjw=")</f>
        <v>#VALUE!</v>
      </c>
      <c r="BJ11" t="e">
        <f>AND(Sheet1!N85,"AAAAAH1/fj0=")</f>
        <v>#VALUE!</v>
      </c>
      <c r="BK11" t="e">
        <f>AND(Sheet1!#REF!,"AAAAAH1/fj4=")</f>
        <v>#REF!</v>
      </c>
      <c r="BL11" t="e">
        <f>AND(Sheet1!#REF!,"AAAAAH1/fj8=")</f>
        <v>#REF!</v>
      </c>
      <c r="BM11" t="e">
        <f>AND(Sheet1!O85,"AAAAAH1/fkA=")</f>
        <v>#VALUE!</v>
      </c>
      <c r="BN11" t="e">
        <f>AND(Sheet1!Q85,"AAAAAH1/fkE=")</f>
        <v>#VALUE!</v>
      </c>
      <c r="BO11" t="e">
        <f>AND(Sheet1!R85,"AAAAAH1/fkI=")</f>
        <v>#VALUE!</v>
      </c>
      <c r="BP11" t="e">
        <f>AND(Sheet1!S85,"AAAAAH1/fkM=")</f>
        <v>#VALUE!</v>
      </c>
      <c r="BQ11" t="e">
        <f>AND(Sheet1!T85,"AAAAAH1/fkQ=")</f>
        <v>#VALUE!</v>
      </c>
      <c r="BR11" t="e">
        <f>AND(Sheet1!U85,"AAAAAH1/fkU=")</f>
        <v>#VALUE!</v>
      </c>
      <c r="BS11" t="e">
        <f>AND(Sheet1!V85,"AAAAAH1/fkY=")</f>
        <v>#VALUE!</v>
      </c>
      <c r="BT11" t="e">
        <f>AND(Sheet1!W85,"AAAAAH1/fkc=")</f>
        <v>#VALUE!</v>
      </c>
      <c r="BU11" t="e">
        <f>AND(Sheet1!X85,"AAAAAH1/fkg=")</f>
        <v>#VALUE!</v>
      </c>
      <c r="BV11" t="e">
        <f>AND(Sheet1!#REF!,"AAAAAH1/fkk=")</f>
        <v>#REF!</v>
      </c>
      <c r="BW11" t="e">
        <f>AND(Sheet1!#REF!,"AAAAAH1/fko=")</f>
        <v>#REF!</v>
      </c>
      <c r="BX11" t="e">
        <f>AND(Sheet1!Y85,"AAAAAH1/fks=")</f>
        <v>#VALUE!</v>
      </c>
      <c r="BY11" t="e">
        <f>AND(Sheet1!Z85,"AAAAAH1/fkw=")</f>
        <v>#VALUE!</v>
      </c>
      <c r="BZ11" t="e">
        <f>AND(Sheet1!AA85,"AAAAAH1/fk0=")</f>
        <v>#VALUE!</v>
      </c>
      <c r="CA11" t="e">
        <f>AND(Sheet1!AB85,"AAAAAH1/fk4=")</f>
        <v>#VALUE!</v>
      </c>
      <c r="CB11" t="e">
        <f>AND(Sheet1!AC85,"AAAAAH1/fk8=")</f>
        <v>#VALUE!</v>
      </c>
      <c r="CC11">
        <f>IF(Sheet1!86:86,"AAAAAH1/flA=",0)</f>
        <v>0</v>
      </c>
      <c r="CD11" t="e">
        <f>AND(Sheet1!A86,"AAAAAH1/flE=")</f>
        <v>#VALUE!</v>
      </c>
      <c r="CE11" t="e">
        <f>AND(Sheet1!B86,"AAAAAH1/flI=")</f>
        <v>#VALUE!</v>
      </c>
      <c r="CF11" t="e">
        <f>AND(Sheet1!C86,"AAAAAH1/flM=")</f>
        <v>#VALUE!</v>
      </c>
      <c r="CG11" t="e">
        <f>AND(Sheet1!D86,"AAAAAH1/flQ=")</f>
        <v>#VALUE!</v>
      </c>
      <c r="CH11" t="e">
        <f>AND(Sheet1!E86,"AAAAAH1/flU=")</f>
        <v>#VALUE!</v>
      </c>
      <c r="CI11" t="e">
        <f>AND(Sheet1!F86,"AAAAAH1/flY=")</f>
        <v>#VALUE!</v>
      </c>
      <c r="CJ11" t="e">
        <f>AND(Sheet1!G86,"AAAAAH1/flc=")</f>
        <v>#VALUE!</v>
      </c>
      <c r="CK11" t="e">
        <f>AND(Sheet1!H86,"AAAAAH1/flg=")</f>
        <v>#VALUE!</v>
      </c>
      <c r="CL11" t="e">
        <f>AND(Sheet1!I86,"AAAAAH1/flk=")</f>
        <v>#VALUE!</v>
      </c>
      <c r="CM11" t="e">
        <f>AND(Sheet1!J86,"AAAAAH1/flo=")</f>
        <v>#VALUE!</v>
      </c>
      <c r="CN11" t="e">
        <f>AND(Sheet1!K86,"AAAAAH1/fls=")</f>
        <v>#VALUE!</v>
      </c>
      <c r="CO11" t="e">
        <f>AND(Sheet1!L86,"AAAAAH1/flw=")</f>
        <v>#VALUE!</v>
      </c>
      <c r="CP11" t="e">
        <f>AND(Sheet1!M86,"AAAAAH1/fl0=")</f>
        <v>#VALUE!</v>
      </c>
      <c r="CQ11" t="e">
        <f>AND(Sheet1!N86,"AAAAAH1/fl4=")</f>
        <v>#VALUE!</v>
      </c>
      <c r="CR11" t="e">
        <f>AND(Sheet1!#REF!,"AAAAAH1/fl8=")</f>
        <v>#REF!</v>
      </c>
      <c r="CS11" t="e">
        <f>AND(Sheet1!#REF!,"AAAAAH1/fmA=")</f>
        <v>#REF!</v>
      </c>
      <c r="CT11" t="e">
        <f>AND(Sheet1!O86,"AAAAAH1/fmE=")</f>
        <v>#VALUE!</v>
      </c>
      <c r="CU11" t="e">
        <f>AND(Sheet1!Q86,"AAAAAH1/fmI=")</f>
        <v>#VALUE!</v>
      </c>
      <c r="CV11" t="e">
        <f>AND(Sheet1!R86,"AAAAAH1/fmM=")</f>
        <v>#VALUE!</v>
      </c>
      <c r="CW11" t="e">
        <f>AND(Sheet1!S86,"AAAAAH1/fmQ=")</f>
        <v>#VALUE!</v>
      </c>
      <c r="CX11" t="e">
        <f>AND(Sheet1!T86,"AAAAAH1/fmU=")</f>
        <v>#VALUE!</v>
      </c>
      <c r="CY11" t="e">
        <f>AND(Sheet1!U86,"AAAAAH1/fmY=")</f>
        <v>#VALUE!</v>
      </c>
      <c r="CZ11" t="e">
        <f>AND(Sheet1!V86,"AAAAAH1/fmc=")</f>
        <v>#VALUE!</v>
      </c>
      <c r="DA11" t="e">
        <f>AND(Sheet1!W86,"AAAAAH1/fmg=")</f>
        <v>#VALUE!</v>
      </c>
      <c r="DB11" t="e">
        <f>AND(Sheet1!X86,"AAAAAH1/fmk=")</f>
        <v>#VALUE!</v>
      </c>
      <c r="DC11" t="e">
        <f>AND(Sheet1!#REF!,"AAAAAH1/fmo=")</f>
        <v>#REF!</v>
      </c>
      <c r="DD11" t="e">
        <f>AND(Sheet1!#REF!,"AAAAAH1/fms=")</f>
        <v>#REF!</v>
      </c>
      <c r="DE11" t="e">
        <f>AND(Sheet1!Y86,"AAAAAH1/fmw=")</f>
        <v>#VALUE!</v>
      </c>
      <c r="DF11" t="e">
        <f>AND(Sheet1!Z86,"AAAAAH1/fm0=")</f>
        <v>#VALUE!</v>
      </c>
      <c r="DG11" t="e">
        <f>AND(Sheet1!AA86,"AAAAAH1/fm4=")</f>
        <v>#VALUE!</v>
      </c>
      <c r="DH11" t="e">
        <f>AND(Sheet1!AB86,"AAAAAH1/fm8=")</f>
        <v>#VALUE!</v>
      </c>
      <c r="DI11" t="e">
        <f>AND(Sheet1!AC86,"AAAAAH1/fnA=")</f>
        <v>#VALUE!</v>
      </c>
      <c r="DJ11">
        <f>IF(Sheet1!87:87,"AAAAAH1/fnE=",0)</f>
        <v>0</v>
      </c>
      <c r="DK11" t="e">
        <f>AND(Sheet1!A87,"AAAAAH1/fnI=")</f>
        <v>#VALUE!</v>
      </c>
      <c r="DL11" t="e">
        <f>AND(Sheet1!B87,"AAAAAH1/fnM=")</f>
        <v>#VALUE!</v>
      </c>
      <c r="DM11" t="e">
        <f>AND(Sheet1!C87,"AAAAAH1/fnQ=")</f>
        <v>#VALUE!</v>
      </c>
      <c r="DN11" t="e">
        <f>AND(Sheet1!D87,"AAAAAH1/fnU=")</f>
        <v>#VALUE!</v>
      </c>
      <c r="DO11" t="e">
        <f>AND(Sheet1!E87,"AAAAAH1/fnY=")</f>
        <v>#VALUE!</v>
      </c>
      <c r="DP11" t="e">
        <f>AND(Sheet1!F87,"AAAAAH1/fnc=")</f>
        <v>#VALUE!</v>
      </c>
      <c r="DQ11" t="e">
        <f>AND(Sheet1!G87,"AAAAAH1/fng=")</f>
        <v>#VALUE!</v>
      </c>
      <c r="DR11" t="e">
        <f>AND(Sheet1!H87,"AAAAAH1/fnk=")</f>
        <v>#VALUE!</v>
      </c>
      <c r="DS11" t="e">
        <f>AND(Sheet1!I87,"AAAAAH1/fno=")</f>
        <v>#VALUE!</v>
      </c>
      <c r="DT11" t="e">
        <f>AND(Sheet1!J87,"AAAAAH1/fns=")</f>
        <v>#VALUE!</v>
      </c>
      <c r="DU11" t="e">
        <f>AND(Sheet1!K87,"AAAAAH1/fnw=")</f>
        <v>#VALUE!</v>
      </c>
      <c r="DV11" t="e">
        <f>AND(Sheet1!L87,"AAAAAH1/fn0=")</f>
        <v>#VALUE!</v>
      </c>
      <c r="DW11" t="e">
        <f>AND(Sheet1!M87,"AAAAAH1/fn4=")</f>
        <v>#VALUE!</v>
      </c>
      <c r="DX11" t="e">
        <f>AND(Sheet1!N87,"AAAAAH1/fn8=")</f>
        <v>#VALUE!</v>
      </c>
      <c r="DY11" t="e">
        <f>AND(Sheet1!#REF!,"AAAAAH1/foA=")</f>
        <v>#REF!</v>
      </c>
      <c r="DZ11" t="e">
        <f>AND(Sheet1!#REF!,"AAAAAH1/foE=")</f>
        <v>#REF!</v>
      </c>
      <c r="EA11" t="e">
        <f>AND(Sheet1!O87,"AAAAAH1/foI=")</f>
        <v>#VALUE!</v>
      </c>
      <c r="EB11" t="e">
        <f>AND(Sheet1!Q87,"AAAAAH1/foM=")</f>
        <v>#VALUE!</v>
      </c>
      <c r="EC11" t="e">
        <f>AND(Sheet1!R87,"AAAAAH1/foQ=")</f>
        <v>#VALUE!</v>
      </c>
      <c r="ED11" t="e">
        <f>AND(Sheet1!S87,"AAAAAH1/foU=")</f>
        <v>#VALUE!</v>
      </c>
      <c r="EE11" t="e">
        <f>AND(Sheet1!T87,"AAAAAH1/foY=")</f>
        <v>#VALUE!</v>
      </c>
      <c r="EF11" t="e">
        <f>AND(Sheet1!U87,"AAAAAH1/foc=")</f>
        <v>#VALUE!</v>
      </c>
      <c r="EG11" t="e">
        <f>AND(Sheet1!V87,"AAAAAH1/fog=")</f>
        <v>#VALUE!</v>
      </c>
      <c r="EH11" t="e">
        <f>AND(Sheet1!W87,"AAAAAH1/fok=")</f>
        <v>#VALUE!</v>
      </c>
      <c r="EI11" t="e">
        <f>AND(Sheet1!X87,"AAAAAH1/foo=")</f>
        <v>#VALUE!</v>
      </c>
      <c r="EJ11" t="e">
        <f>AND(Sheet1!#REF!,"AAAAAH1/fos=")</f>
        <v>#REF!</v>
      </c>
      <c r="EK11" t="e">
        <f>AND(Sheet1!#REF!,"AAAAAH1/fow=")</f>
        <v>#REF!</v>
      </c>
      <c r="EL11" t="e">
        <f>AND(Sheet1!Y87,"AAAAAH1/fo0=")</f>
        <v>#VALUE!</v>
      </c>
      <c r="EM11" t="e">
        <f>AND(Sheet1!Z87,"AAAAAH1/fo4=")</f>
        <v>#VALUE!</v>
      </c>
      <c r="EN11" t="e">
        <f>AND(Sheet1!AA87,"AAAAAH1/fo8=")</f>
        <v>#VALUE!</v>
      </c>
      <c r="EO11" t="e">
        <f>AND(Sheet1!AB87,"AAAAAH1/fpA=")</f>
        <v>#VALUE!</v>
      </c>
      <c r="EP11" t="e">
        <f>AND(Sheet1!AC87,"AAAAAH1/fpE=")</f>
        <v>#VALUE!</v>
      </c>
      <c r="EQ11">
        <f>IF(Sheet1!88:88,"AAAAAH1/fpI=",0)</f>
        <v>0</v>
      </c>
      <c r="ER11" t="e">
        <f>AND(Sheet1!A88,"AAAAAH1/fpM=")</f>
        <v>#VALUE!</v>
      </c>
      <c r="ES11" t="e">
        <f>AND(Sheet1!B88,"AAAAAH1/fpQ=")</f>
        <v>#VALUE!</v>
      </c>
      <c r="ET11" t="e">
        <f>AND(Sheet1!C88,"AAAAAH1/fpU=")</f>
        <v>#VALUE!</v>
      </c>
      <c r="EU11" t="e">
        <f>AND(Sheet1!D88,"AAAAAH1/fpY=")</f>
        <v>#VALUE!</v>
      </c>
      <c r="EV11" t="e">
        <f>AND(Sheet1!E88,"AAAAAH1/fpc=")</f>
        <v>#VALUE!</v>
      </c>
      <c r="EW11" t="e">
        <f>AND(Sheet1!F88,"AAAAAH1/fpg=")</f>
        <v>#VALUE!</v>
      </c>
      <c r="EX11" t="e">
        <f>AND(Sheet1!G88,"AAAAAH1/fpk=")</f>
        <v>#VALUE!</v>
      </c>
      <c r="EY11" t="e">
        <f>AND(Sheet1!H88,"AAAAAH1/fpo=")</f>
        <v>#VALUE!</v>
      </c>
      <c r="EZ11" t="e">
        <f>AND(Sheet1!I88,"AAAAAH1/fps=")</f>
        <v>#VALUE!</v>
      </c>
      <c r="FA11" t="e">
        <f>AND(Sheet1!J88,"AAAAAH1/fpw=")</f>
        <v>#VALUE!</v>
      </c>
      <c r="FB11" t="e">
        <f>AND(Sheet1!K88,"AAAAAH1/fp0=")</f>
        <v>#VALUE!</v>
      </c>
      <c r="FC11" t="e">
        <f>AND(Sheet1!L88,"AAAAAH1/fp4=")</f>
        <v>#VALUE!</v>
      </c>
      <c r="FD11" t="e">
        <f>AND(Sheet1!M88,"AAAAAH1/fp8=")</f>
        <v>#VALUE!</v>
      </c>
      <c r="FE11" t="e">
        <f>AND(Sheet1!N88,"AAAAAH1/fqA=")</f>
        <v>#VALUE!</v>
      </c>
      <c r="FF11" t="e">
        <f>AND(Sheet1!#REF!,"AAAAAH1/fqE=")</f>
        <v>#REF!</v>
      </c>
      <c r="FG11" t="e">
        <f>AND(Sheet1!#REF!,"AAAAAH1/fqI=")</f>
        <v>#REF!</v>
      </c>
      <c r="FH11" t="e">
        <f>AND(Sheet1!O88,"AAAAAH1/fqM=")</f>
        <v>#VALUE!</v>
      </c>
      <c r="FI11" t="e">
        <f>AND(Sheet1!Q88,"AAAAAH1/fqQ=")</f>
        <v>#VALUE!</v>
      </c>
      <c r="FJ11" t="e">
        <f>AND(Sheet1!R88,"AAAAAH1/fqU=")</f>
        <v>#VALUE!</v>
      </c>
      <c r="FK11" t="e">
        <f>AND(Sheet1!S88,"AAAAAH1/fqY=")</f>
        <v>#VALUE!</v>
      </c>
      <c r="FL11" t="e">
        <f>AND(Sheet1!T88,"AAAAAH1/fqc=")</f>
        <v>#VALUE!</v>
      </c>
      <c r="FM11" t="e">
        <f>AND(Sheet1!U88,"AAAAAH1/fqg=")</f>
        <v>#VALUE!</v>
      </c>
      <c r="FN11" t="e">
        <f>AND(Sheet1!V88,"AAAAAH1/fqk=")</f>
        <v>#VALUE!</v>
      </c>
      <c r="FO11" t="e">
        <f>AND(Sheet1!W88,"AAAAAH1/fqo=")</f>
        <v>#VALUE!</v>
      </c>
      <c r="FP11" t="e">
        <f>AND(Sheet1!X88,"AAAAAH1/fqs=")</f>
        <v>#VALUE!</v>
      </c>
      <c r="FQ11" t="e">
        <f>AND(Sheet1!#REF!,"AAAAAH1/fqw=")</f>
        <v>#REF!</v>
      </c>
      <c r="FR11" t="e">
        <f>AND(Sheet1!#REF!,"AAAAAH1/fq0=")</f>
        <v>#REF!</v>
      </c>
      <c r="FS11" t="e">
        <f>AND(Sheet1!Y88,"AAAAAH1/fq4=")</f>
        <v>#VALUE!</v>
      </c>
      <c r="FT11" t="e">
        <f>AND(Sheet1!Z88,"AAAAAH1/fq8=")</f>
        <v>#VALUE!</v>
      </c>
      <c r="FU11" t="e">
        <f>AND(Sheet1!AA88,"AAAAAH1/frA=")</f>
        <v>#VALUE!</v>
      </c>
      <c r="FV11" t="e">
        <f>AND(Sheet1!AB88,"AAAAAH1/frE=")</f>
        <v>#VALUE!</v>
      </c>
      <c r="FW11" t="e">
        <f>AND(Sheet1!AC88,"AAAAAH1/frI=")</f>
        <v>#VALUE!</v>
      </c>
      <c r="FX11">
        <f>IF(Sheet1!89:89,"AAAAAH1/frM=",0)</f>
        <v>0</v>
      </c>
      <c r="FY11" t="e">
        <f>AND(Sheet1!A89,"AAAAAH1/frQ=")</f>
        <v>#VALUE!</v>
      </c>
      <c r="FZ11" t="e">
        <f>AND(Sheet1!B89,"AAAAAH1/frU=")</f>
        <v>#VALUE!</v>
      </c>
      <c r="GA11" t="e">
        <f>AND(Sheet1!C89,"AAAAAH1/frY=")</f>
        <v>#VALUE!</v>
      </c>
      <c r="GB11" t="e">
        <f>AND(Sheet1!D89,"AAAAAH1/frc=")</f>
        <v>#VALUE!</v>
      </c>
      <c r="GC11" t="e">
        <f>AND(Sheet1!E89,"AAAAAH1/frg=")</f>
        <v>#VALUE!</v>
      </c>
      <c r="GD11" t="e">
        <f>AND(Sheet1!F89,"AAAAAH1/frk=")</f>
        <v>#VALUE!</v>
      </c>
      <c r="GE11" t="e">
        <f>AND(Sheet1!G89,"AAAAAH1/fro=")</f>
        <v>#VALUE!</v>
      </c>
      <c r="GF11" t="e">
        <f>AND(Sheet1!H89,"AAAAAH1/frs=")</f>
        <v>#VALUE!</v>
      </c>
      <c r="GG11" t="e">
        <f>AND(Sheet1!I89,"AAAAAH1/frw=")</f>
        <v>#VALUE!</v>
      </c>
      <c r="GH11" t="e">
        <f>AND(Sheet1!J89,"AAAAAH1/fr0=")</f>
        <v>#VALUE!</v>
      </c>
      <c r="GI11" t="e">
        <f>AND(Sheet1!K89,"AAAAAH1/fr4=")</f>
        <v>#VALUE!</v>
      </c>
      <c r="GJ11" t="e">
        <f>AND(Sheet1!L89,"AAAAAH1/fr8=")</f>
        <v>#VALUE!</v>
      </c>
      <c r="GK11" t="e">
        <f>AND(Sheet1!M89,"AAAAAH1/fsA=")</f>
        <v>#VALUE!</v>
      </c>
      <c r="GL11" t="e">
        <f>AND(Sheet1!N89,"AAAAAH1/fsE=")</f>
        <v>#VALUE!</v>
      </c>
      <c r="GM11" t="e">
        <f>AND(Sheet1!#REF!,"AAAAAH1/fsI=")</f>
        <v>#REF!</v>
      </c>
      <c r="GN11" t="e">
        <f>AND(Sheet1!#REF!,"AAAAAH1/fsM=")</f>
        <v>#REF!</v>
      </c>
      <c r="GO11" t="e">
        <f>AND(Sheet1!O89,"AAAAAH1/fsQ=")</f>
        <v>#VALUE!</v>
      </c>
      <c r="GP11" t="e">
        <f>AND(Sheet1!Q89,"AAAAAH1/fsU=")</f>
        <v>#VALUE!</v>
      </c>
      <c r="GQ11" t="e">
        <f>AND(Sheet1!R89,"AAAAAH1/fsY=")</f>
        <v>#VALUE!</v>
      </c>
      <c r="GR11" t="e">
        <f>AND(Sheet1!S89,"AAAAAH1/fsc=")</f>
        <v>#VALUE!</v>
      </c>
      <c r="GS11" t="e">
        <f>AND(Sheet1!T89,"AAAAAH1/fsg=")</f>
        <v>#VALUE!</v>
      </c>
      <c r="GT11" t="e">
        <f>AND(Sheet1!U89,"AAAAAH1/fsk=")</f>
        <v>#VALUE!</v>
      </c>
      <c r="GU11" t="e">
        <f>AND(Sheet1!V89,"AAAAAH1/fso=")</f>
        <v>#VALUE!</v>
      </c>
      <c r="GV11" t="e">
        <f>AND(Sheet1!W89,"AAAAAH1/fss=")</f>
        <v>#VALUE!</v>
      </c>
      <c r="GW11" t="e">
        <f>AND(Sheet1!X89,"AAAAAH1/fsw=")</f>
        <v>#VALUE!</v>
      </c>
      <c r="GX11" t="e">
        <f>AND(Sheet1!#REF!,"AAAAAH1/fs0=")</f>
        <v>#REF!</v>
      </c>
      <c r="GY11" t="e">
        <f>AND(Sheet1!#REF!,"AAAAAH1/fs4=")</f>
        <v>#REF!</v>
      </c>
      <c r="GZ11" t="e">
        <f>AND(Sheet1!Y89,"AAAAAH1/fs8=")</f>
        <v>#VALUE!</v>
      </c>
      <c r="HA11" t="e">
        <f>AND(Sheet1!Z89,"AAAAAH1/ftA=")</f>
        <v>#VALUE!</v>
      </c>
      <c r="HB11" t="e">
        <f>AND(Sheet1!AA89,"AAAAAH1/ftE=")</f>
        <v>#VALUE!</v>
      </c>
      <c r="HC11" t="e">
        <f>AND(Sheet1!AB89,"AAAAAH1/ftI=")</f>
        <v>#VALUE!</v>
      </c>
      <c r="HD11" t="e">
        <f>AND(Sheet1!AC89,"AAAAAH1/ftM=")</f>
        <v>#VALUE!</v>
      </c>
      <c r="HE11">
        <f>IF(Sheet1!90:90,"AAAAAH1/ftQ=",0)</f>
        <v>0</v>
      </c>
      <c r="HF11" t="e">
        <f>AND(Sheet1!A90,"AAAAAH1/ftU=")</f>
        <v>#VALUE!</v>
      </c>
      <c r="HG11" t="e">
        <f>AND(Sheet1!B90,"AAAAAH1/ftY=")</f>
        <v>#VALUE!</v>
      </c>
      <c r="HH11" t="e">
        <f>AND(Sheet1!C90,"AAAAAH1/ftc=")</f>
        <v>#VALUE!</v>
      </c>
      <c r="HI11" t="e">
        <f>AND(Sheet1!D90,"AAAAAH1/ftg=")</f>
        <v>#VALUE!</v>
      </c>
      <c r="HJ11" t="e">
        <f>AND(Sheet1!E90,"AAAAAH1/ftk=")</f>
        <v>#VALUE!</v>
      </c>
      <c r="HK11" t="e">
        <f>AND(Sheet1!F90,"AAAAAH1/fto=")</f>
        <v>#VALUE!</v>
      </c>
      <c r="HL11" t="e">
        <f>AND(Sheet1!G90,"AAAAAH1/fts=")</f>
        <v>#VALUE!</v>
      </c>
      <c r="HM11" t="e">
        <f>AND(Sheet1!H90,"AAAAAH1/ftw=")</f>
        <v>#VALUE!</v>
      </c>
      <c r="HN11" t="e">
        <f>AND(Sheet1!I90,"AAAAAH1/ft0=")</f>
        <v>#VALUE!</v>
      </c>
      <c r="HO11" t="e">
        <f>AND(Sheet1!J90,"AAAAAH1/ft4=")</f>
        <v>#VALUE!</v>
      </c>
      <c r="HP11" t="e">
        <f>AND(Sheet1!K90,"AAAAAH1/ft8=")</f>
        <v>#VALUE!</v>
      </c>
      <c r="HQ11" t="e">
        <f>AND(Sheet1!L90,"AAAAAH1/fuA=")</f>
        <v>#VALUE!</v>
      </c>
      <c r="HR11" t="e">
        <f>AND(Sheet1!M90,"AAAAAH1/fuE=")</f>
        <v>#VALUE!</v>
      </c>
      <c r="HS11" t="e">
        <f>AND(Sheet1!N90,"AAAAAH1/fuI=")</f>
        <v>#VALUE!</v>
      </c>
      <c r="HT11" t="e">
        <f>AND(Sheet1!#REF!,"AAAAAH1/fuM=")</f>
        <v>#REF!</v>
      </c>
      <c r="HU11" t="e">
        <f>AND(Sheet1!#REF!,"AAAAAH1/fuQ=")</f>
        <v>#REF!</v>
      </c>
      <c r="HV11" t="e">
        <f>AND(Sheet1!O90,"AAAAAH1/fuU=")</f>
        <v>#VALUE!</v>
      </c>
      <c r="HW11" t="e">
        <f>AND(Sheet1!Q90,"AAAAAH1/fuY=")</f>
        <v>#VALUE!</v>
      </c>
      <c r="HX11" t="e">
        <f>AND(Sheet1!R90,"AAAAAH1/fuc=")</f>
        <v>#VALUE!</v>
      </c>
      <c r="HY11" t="e">
        <f>AND(Sheet1!S90,"AAAAAH1/fug=")</f>
        <v>#VALUE!</v>
      </c>
      <c r="HZ11" t="e">
        <f>AND(Sheet1!T90,"AAAAAH1/fuk=")</f>
        <v>#VALUE!</v>
      </c>
      <c r="IA11" t="e">
        <f>AND(Sheet1!U90,"AAAAAH1/fuo=")</f>
        <v>#VALUE!</v>
      </c>
      <c r="IB11" t="e">
        <f>AND(Sheet1!V90,"AAAAAH1/fus=")</f>
        <v>#VALUE!</v>
      </c>
      <c r="IC11" t="e">
        <f>AND(Sheet1!W90,"AAAAAH1/fuw=")</f>
        <v>#VALUE!</v>
      </c>
      <c r="ID11" t="e">
        <f>AND(Sheet1!X90,"AAAAAH1/fu0=")</f>
        <v>#VALUE!</v>
      </c>
      <c r="IE11" t="e">
        <f>AND(Sheet1!#REF!,"AAAAAH1/fu4=")</f>
        <v>#REF!</v>
      </c>
      <c r="IF11" t="e">
        <f>AND(Sheet1!#REF!,"AAAAAH1/fu8=")</f>
        <v>#REF!</v>
      </c>
      <c r="IG11" t="e">
        <f>AND(Sheet1!Y90,"AAAAAH1/fvA=")</f>
        <v>#VALUE!</v>
      </c>
      <c r="IH11" t="e">
        <f>AND(Sheet1!Z90,"AAAAAH1/fvE=")</f>
        <v>#VALUE!</v>
      </c>
      <c r="II11" t="e">
        <f>AND(Sheet1!AA90,"AAAAAH1/fvI=")</f>
        <v>#VALUE!</v>
      </c>
      <c r="IJ11" t="e">
        <f>AND(Sheet1!AB90,"AAAAAH1/fvM=")</f>
        <v>#VALUE!</v>
      </c>
      <c r="IK11" t="e">
        <f>AND(Sheet1!AC90,"AAAAAH1/fvQ=")</f>
        <v>#VALUE!</v>
      </c>
      <c r="IL11">
        <f>IF(Sheet1!91:91,"AAAAAH1/fvU=",0)</f>
        <v>0</v>
      </c>
      <c r="IM11" t="e">
        <f>AND(Sheet1!A91,"AAAAAH1/fvY=")</f>
        <v>#VALUE!</v>
      </c>
      <c r="IN11" t="e">
        <f>AND(Sheet1!B91,"AAAAAH1/fvc=")</f>
        <v>#VALUE!</v>
      </c>
      <c r="IO11" t="e">
        <f>AND(Sheet1!C91,"AAAAAH1/fvg=")</f>
        <v>#VALUE!</v>
      </c>
      <c r="IP11" t="e">
        <f>AND(Sheet1!D91,"AAAAAH1/fvk=")</f>
        <v>#VALUE!</v>
      </c>
      <c r="IQ11" t="e">
        <f>AND(Sheet1!E91,"AAAAAH1/fvo=")</f>
        <v>#VALUE!</v>
      </c>
      <c r="IR11" t="e">
        <f>AND(Sheet1!F91,"AAAAAH1/fvs=")</f>
        <v>#VALUE!</v>
      </c>
      <c r="IS11" t="e">
        <f>AND(Sheet1!G91,"AAAAAH1/fvw=")</f>
        <v>#VALUE!</v>
      </c>
      <c r="IT11" t="e">
        <f>AND(Sheet1!H91,"AAAAAH1/fv0=")</f>
        <v>#VALUE!</v>
      </c>
      <c r="IU11" t="e">
        <f>AND(Sheet1!I91,"AAAAAH1/fv4=")</f>
        <v>#VALUE!</v>
      </c>
      <c r="IV11" t="e">
        <f>AND(Sheet1!J91,"AAAAAH1/fv8=")</f>
        <v>#VALUE!</v>
      </c>
    </row>
    <row r="12" spans="1:256" x14ac:dyDescent="0.25">
      <c r="A12" t="e">
        <f>AND(Sheet1!K91,"AAAAAC3evwA=")</f>
        <v>#VALUE!</v>
      </c>
      <c r="B12" t="e">
        <f>AND(Sheet1!L91,"AAAAAC3evwE=")</f>
        <v>#VALUE!</v>
      </c>
      <c r="C12" t="e">
        <f>AND(Sheet1!M91,"AAAAAC3evwI=")</f>
        <v>#VALUE!</v>
      </c>
      <c r="D12" t="e">
        <f>AND(Sheet1!N91,"AAAAAC3evwM=")</f>
        <v>#VALUE!</v>
      </c>
      <c r="E12" t="e">
        <f>AND(Sheet1!#REF!,"AAAAAC3evwQ=")</f>
        <v>#REF!</v>
      </c>
      <c r="F12" t="e">
        <f>AND(Sheet1!#REF!,"AAAAAC3evwU=")</f>
        <v>#REF!</v>
      </c>
      <c r="G12" t="e">
        <f>AND(Sheet1!O91,"AAAAAC3evwY=")</f>
        <v>#VALUE!</v>
      </c>
      <c r="H12" t="e">
        <f>AND(Sheet1!Q91,"AAAAAC3evwc=")</f>
        <v>#VALUE!</v>
      </c>
      <c r="I12" t="e">
        <f>AND(Sheet1!R91,"AAAAAC3evwg=")</f>
        <v>#VALUE!</v>
      </c>
      <c r="J12" t="e">
        <f>AND(Sheet1!S91,"AAAAAC3evwk=")</f>
        <v>#VALUE!</v>
      </c>
      <c r="K12" t="e">
        <f>AND(Sheet1!T91,"AAAAAC3evwo=")</f>
        <v>#VALUE!</v>
      </c>
      <c r="L12" t="e">
        <f>AND(Sheet1!U91,"AAAAAC3evws=")</f>
        <v>#VALUE!</v>
      </c>
      <c r="M12" t="e">
        <f>AND(Sheet1!V91,"AAAAAC3evww=")</f>
        <v>#VALUE!</v>
      </c>
      <c r="N12" t="e">
        <f>AND(Sheet1!W91,"AAAAAC3evw0=")</f>
        <v>#VALUE!</v>
      </c>
      <c r="O12" t="e">
        <f>AND(Sheet1!X91,"AAAAAC3evw4=")</f>
        <v>#VALUE!</v>
      </c>
      <c r="P12" t="e">
        <f>AND(Sheet1!#REF!,"AAAAAC3evw8=")</f>
        <v>#REF!</v>
      </c>
      <c r="Q12" t="e">
        <f>AND(Sheet1!#REF!,"AAAAAC3evxA=")</f>
        <v>#REF!</v>
      </c>
      <c r="R12" t="e">
        <f>AND(Sheet1!Y91,"AAAAAC3evxE=")</f>
        <v>#VALUE!</v>
      </c>
      <c r="S12" t="e">
        <f>AND(Sheet1!Z91,"AAAAAC3evxI=")</f>
        <v>#VALUE!</v>
      </c>
      <c r="T12" t="e">
        <f>AND(Sheet1!AA91,"AAAAAC3evxM=")</f>
        <v>#VALUE!</v>
      </c>
      <c r="U12" t="e">
        <f>AND(Sheet1!AB91,"AAAAAC3evxQ=")</f>
        <v>#VALUE!</v>
      </c>
      <c r="V12" t="e">
        <f>AND(Sheet1!AC91,"AAAAAC3evxU=")</f>
        <v>#VALUE!</v>
      </c>
      <c r="W12">
        <f>IF(Sheet1!92:92,"AAAAAC3evxY=",0)</f>
        <v>0</v>
      </c>
      <c r="X12" t="e">
        <f>AND(Sheet1!A92,"AAAAAC3evxc=")</f>
        <v>#VALUE!</v>
      </c>
      <c r="Y12" t="e">
        <f>AND(Sheet1!B92,"AAAAAC3evxg=")</f>
        <v>#VALUE!</v>
      </c>
      <c r="Z12" t="e">
        <f>AND(Sheet1!C92,"AAAAAC3evxk=")</f>
        <v>#VALUE!</v>
      </c>
      <c r="AA12" t="e">
        <f>AND(Sheet1!D92,"AAAAAC3evxo=")</f>
        <v>#VALUE!</v>
      </c>
      <c r="AB12" t="e">
        <f>AND(Sheet1!E92,"AAAAAC3evxs=")</f>
        <v>#VALUE!</v>
      </c>
      <c r="AC12" t="e">
        <f>AND(Sheet1!F92,"AAAAAC3evxw=")</f>
        <v>#VALUE!</v>
      </c>
      <c r="AD12" t="e">
        <f>AND(Sheet1!G92,"AAAAAC3evx0=")</f>
        <v>#VALUE!</v>
      </c>
      <c r="AE12" t="e">
        <f>AND(Sheet1!H92,"AAAAAC3evx4=")</f>
        <v>#VALUE!</v>
      </c>
      <c r="AF12" t="e">
        <f>AND(Sheet1!I92,"AAAAAC3evx8=")</f>
        <v>#VALUE!</v>
      </c>
      <c r="AG12" t="e">
        <f>AND(Sheet1!J92,"AAAAAC3evyA=")</f>
        <v>#VALUE!</v>
      </c>
      <c r="AH12" t="e">
        <f>AND(Sheet1!K92,"AAAAAC3evyE=")</f>
        <v>#VALUE!</v>
      </c>
      <c r="AI12" t="e">
        <f>AND(Sheet1!L92,"AAAAAC3evyI=")</f>
        <v>#VALUE!</v>
      </c>
      <c r="AJ12" t="e">
        <f>AND(Sheet1!M92,"AAAAAC3evyM=")</f>
        <v>#VALUE!</v>
      </c>
      <c r="AK12" t="e">
        <f>AND(Sheet1!N92,"AAAAAC3evyQ=")</f>
        <v>#VALUE!</v>
      </c>
      <c r="AL12" t="e">
        <f>AND(Sheet1!#REF!,"AAAAAC3evyU=")</f>
        <v>#REF!</v>
      </c>
      <c r="AM12" t="e">
        <f>AND(Sheet1!#REF!,"AAAAAC3evyY=")</f>
        <v>#REF!</v>
      </c>
      <c r="AN12" t="e">
        <f>AND(Sheet1!O92,"AAAAAC3evyc=")</f>
        <v>#VALUE!</v>
      </c>
      <c r="AO12" t="e">
        <f>AND(Sheet1!Q92,"AAAAAC3evyg=")</f>
        <v>#VALUE!</v>
      </c>
      <c r="AP12" t="e">
        <f>AND(Sheet1!R92,"AAAAAC3evyk=")</f>
        <v>#VALUE!</v>
      </c>
      <c r="AQ12" t="e">
        <f>AND(Sheet1!S92,"AAAAAC3evyo=")</f>
        <v>#VALUE!</v>
      </c>
      <c r="AR12" t="e">
        <f>AND(Sheet1!T92,"AAAAAC3evys=")</f>
        <v>#VALUE!</v>
      </c>
      <c r="AS12" t="e">
        <f>AND(Sheet1!U92,"AAAAAC3evyw=")</f>
        <v>#VALUE!</v>
      </c>
      <c r="AT12" t="e">
        <f>AND(Sheet1!V92,"AAAAAC3evy0=")</f>
        <v>#VALUE!</v>
      </c>
      <c r="AU12" t="e">
        <f>AND(Sheet1!W92,"AAAAAC3evy4=")</f>
        <v>#VALUE!</v>
      </c>
      <c r="AV12" t="e">
        <f>AND(Sheet1!X92,"AAAAAC3evy8=")</f>
        <v>#VALUE!</v>
      </c>
      <c r="AW12" t="e">
        <f>AND(Sheet1!#REF!,"AAAAAC3evzA=")</f>
        <v>#REF!</v>
      </c>
      <c r="AX12" t="e">
        <f>AND(Sheet1!#REF!,"AAAAAC3evzE=")</f>
        <v>#REF!</v>
      </c>
      <c r="AY12" t="e">
        <f>AND(Sheet1!Y92,"AAAAAC3evzI=")</f>
        <v>#VALUE!</v>
      </c>
      <c r="AZ12" t="e">
        <f>AND(Sheet1!Z92,"AAAAAC3evzM=")</f>
        <v>#VALUE!</v>
      </c>
      <c r="BA12" t="e">
        <f>AND(Sheet1!AA92,"AAAAAC3evzQ=")</f>
        <v>#VALUE!</v>
      </c>
      <c r="BB12" t="e">
        <f>AND(Sheet1!AB92,"AAAAAC3evzU=")</f>
        <v>#VALUE!</v>
      </c>
      <c r="BC12" t="e">
        <f>AND(Sheet1!AC92,"AAAAAC3evzY=")</f>
        <v>#VALUE!</v>
      </c>
      <c r="BD12">
        <f>IF(Sheet1!93:93,"AAAAAC3evzc=",0)</f>
        <v>0</v>
      </c>
      <c r="BE12" t="e">
        <f>AND(Sheet1!A93,"AAAAAC3evzg=")</f>
        <v>#VALUE!</v>
      </c>
      <c r="BF12" t="e">
        <f>AND(Sheet1!B93,"AAAAAC3evzk=")</f>
        <v>#VALUE!</v>
      </c>
      <c r="BG12" t="e">
        <f>AND(Sheet1!C93,"AAAAAC3evzo=")</f>
        <v>#VALUE!</v>
      </c>
      <c r="BH12" t="e">
        <f>AND(Sheet1!D93,"AAAAAC3evzs=")</f>
        <v>#VALUE!</v>
      </c>
      <c r="BI12" t="e">
        <f>AND(Sheet1!E93,"AAAAAC3evzw=")</f>
        <v>#VALUE!</v>
      </c>
      <c r="BJ12" t="e">
        <f>AND(Sheet1!F93,"AAAAAC3evz0=")</f>
        <v>#VALUE!</v>
      </c>
      <c r="BK12" t="e">
        <f>AND(Sheet1!G93,"AAAAAC3evz4=")</f>
        <v>#VALUE!</v>
      </c>
      <c r="BL12" t="e">
        <f>AND(Sheet1!H93,"AAAAAC3evz8=")</f>
        <v>#VALUE!</v>
      </c>
      <c r="BM12" t="e">
        <f>AND(Sheet1!I93,"AAAAAC3ev0A=")</f>
        <v>#VALUE!</v>
      </c>
      <c r="BN12" t="e">
        <f>AND(Sheet1!J93,"AAAAAC3ev0E=")</f>
        <v>#VALUE!</v>
      </c>
      <c r="BO12" t="e">
        <f>AND(Sheet1!K93,"AAAAAC3ev0I=")</f>
        <v>#VALUE!</v>
      </c>
      <c r="BP12" t="e">
        <f>AND(Sheet1!L93,"AAAAAC3ev0M=")</f>
        <v>#VALUE!</v>
      </c>
      <c r="BQ12" t="e">
        <f>AND(Sheet1!M93,"AAAAAC3ev0Q=")</f>
        <v>#VALUE!</v>
      </c>
      <c r="BR12" t="e">
        <f>AND(Sheet1!N93,"AAAAAC3ev0U=")</f>
        <v>#VALUE!</v>
      </c>
      <c r="BS12" t="e">
        <f>AND(Sheet1!#REF!,"AAAAAC3ev0Y=")</f>
        <v>#REF!</v>
      </c>
      <c r="BT12" t="e">
        <f>AND(Sheet1!#REF!,"AAAAAC3ev0c=")</f>
        <v>#REF!</v>
      </c>
      <c r="BU12" t="e">
        <f>AND(Sheet1!O93,"AAAAAC3ev0g=")</f>
        <v>#VALUE!</v>
      </c>
      <c r="BV12" t="e">
        <f>AND(Sheet1!Q93,"AAAAAC3ev0k=")</f>
        <v>#VALUE!</v>
      </c>
      <c r="BW12" t="e">
        <f>AND(Sheet1!R93,"AAAAAC3ev0o=")</f>
        <v>#VALUE!</v>
      </c>
      <c r="BX12" t="e">
        <f>AND(Sheet1!S93,"AAAAAC3ev0s=")</f>
        <v>#VALUE!</v>
      </c>
      <c r="BY12" t="e">
        <f>AND(Sheet1!T93,"AAAAAC3ev0w=")</f>
        <v>#VALUE!</v>
      </c>
      <c r="BZ12" t="e">
        <f>AND(Sheet1!U93,"AAAAAC3ev00=")</f>
        <v>#VALUE!</v>
      </c>
      <c r="CA12" t="e">
        <f>AND(Sheet1!V93,"AAAAAC3ev04=")</f>
        <v>#VALUE!</v>
      </c>
      <c r="CB12" t="e">
        <f>AND(Sheet1!W93,"AAAAAC3ev08=")</f>
        <v>#VALUE!</v>
      </c>
      <c r="CC12" t="e">
        <f>AND(Sheet1!X93,"AAAAAC3ev1A=")</f>
        <v>#VALUE!</v>
      </c>
      <c r="CD12" t="e">
        <f>AND(Sheet1!#REF!,"AAAAAC3ev1E=")</f>
        <v>#REF!</v>
      </c>
      <c r="CE12" t="e">
        <f>AND(Sheet1!#REF!,"AAAAAC3ev1I=")</f>
        <v>#REF!</v>
      </c>
      <c r="CF12" t="e">
        <f>AND(Sheet1!Y93,"AAAAAC3ev1M=")</f>
        <v>#VALUE!</v>
      </c>
      <c r="CG12" t="e">
        <f>AND(Sheet1!Z93,"AAAAAC3ev1Q=")</f>
        <v>#VALUE!</v>
      </c>
      <c r="CH12" t="e">
        <f>AND(Sheet1!AA93,"AAAAAC3ev1U=")</f>
        <v>#VALUE!</v>
      </c>
      <c r="CI12" t="e">
        <f>AND(Sheet1!AB93,"AAAAAC3ev1Y=")</f>
        <v>#VALUE!</v>
      </c>
      <c r="CJ12" t="e">
        <f>AND(Sheet1!AC93,"AAAAAC3ev1c=")</f>
        <v>#VALUE!</v>
      </c>
      <c r="CK12">
        <f>IF(Sheet1!94:94,"AAAAAC3ev1g=",0)</f>
        <v>0</v>
      </c>
      <c r="CL12" t="e">
        <f>AND(Sheet1!A94,"AAAAAC3ev1k=")</f>
        <v>#VALUE!</v>
      </c>
      <c r="CM12" t="e">
        <f>AND(Sheet1!B94,"AAAAAC3ev1o=")</f>
        <v>#VALUE!</v>
      </c>
      <c r="CN12" t="e">
        <f>AND(Sheet1!C94,"AAAAAC3ev1s=")</f>
        <v>#VALUE!</v>
      </c>
      <c r="CO12" t="e">
        <f>AND(Sheet1!D94,"AAAAAC3ev1w=")</f>
        <v>#VALUE!</v>
      </c>
      <c r="CP12" t="e">
        <f>AND(Sheet1!E94,"AAAAAC3ev10=")</f>
        <v>#VALUE!</v>
      </c>
      <c r="CQ12" t="e">
        <f>AND(Sheet1!F94,"AAAAAC3ev14=")</f>
        <v>#VALUE!</v>
      </c>
      <c r="CR12" t="e">
        <f>AND(Sheet1!G94,"AAAAAC3ev18=")</f>
        <v>#VALUE!</v>
      </c>
      <c r="CS12" t="e">
        <f>AND(Sheet1!H94,"AAAAAC3ev2A=")</f>
        <v>#VALUE!</v>
      </c>
      <c r="CT12" t="e">
        <f>AND(Sheet1!I94,"AAAAAC3ev2E=")</f>
        <v>#VALUE!</v>
      </c>
      <c r="CU12" t="e">
        <f>AND(Sheet1!J94,"AAAAAC3ev2I=")</f>
        <v>#VALUE!</v>
      </c>
      <c r="CV12" t="e">
        <f>AND(Sheet1!K94,"AAAAAC3ev2M=")</f>
        <v>#VALUE!</v>
      </c>
      <c r="CW12" t="e">
        <f>AND(Sheet1!L94,"AAAAAC3ev2Q=")</f>
        <v>#VALUE!</v>
      </c>
      <c r="CX12" t="e">
        <f>AND(Sheet1!M94,"AAAAAC3ev2U=")</f>
        <v>#VALUE!</v>
      </c>
      <c r="CY12" t="e">
        <f>AND(Sheet1!N94,"AAAAAC3ev2Y=")</f>
        <v>#VALUE!</v>
      </c>
      <c r="CZ12" t="e">
        <f>AND(Sheet1!#REF!,"AAAAAC3ev2c=")</f>
        <v>#REF!</v>
      </c>
      <c r="DA12" t="e">
        <f>AND(Sheet1!#REF!,"AAAAAC3ev2g=")</f>
        <v>#REF!</v>
      </c>
      <c r="DB12" t="e">
        <f>AND(Sheet1!O94,"AAAAAC3ev2k=")</f>
        <v>#VALUE!</v>
      </c>
      <c r="DC12" t="e">
        <f>AND(Sheet1!Q94,"AAAAAC3ev2o=")</f>
        <v>#VALUE!</v>
      </c>
      <c r="DD12" t="e">
        <f>AND(Sheet1!R94,"AAAAAC3ev2s=")</f>
        <v>#VALUE!</v>
      </c>
      <c r="DE12" t="e">
        <f>AND(Sheet1!S94,"AAAAAC3ev2w=")</f>
        <v>#VALUE!</v>
      </c>
      <c r="DF12" t="e">
        <f>AND(Sheet1!T94,"AAAAAC3ev20=")</f>
        <v>#VALUE!</v>
      </c>
      <c r="DG12" t="e">
        <f>AND(Sheet1!U94,"AAAAAC3ev24=")</f>
        <v>#VALUE!</v>
      </c>
      <c r="DH12" t="e">
        <f>AND(Sheet1!V94,"AAAAAC3ev28=")</f>
        <v>#VALUE!</v>
      </c>
      <c r="DI12" t="e">
        <f>AND(Sheet1!W94,"AAAAAC3ev3A=")</f>
        <v>#VALUE!</v>
      </c>
      <c r="DJ12" t="e">
        <f>AND(Sheet1!X94,"AAAAAC3ev3E=")</f>
        <v>#VALUE!</v>
      </c>
      <c r="DK12" t="e">
        <f>AND(Sheet1!#REF!,"AAAAAC3ev3I=")</f>
        <v>#REF!</v>
      </c>
      <c r="DL12" t="e">
        <f>AND(Sheet1!#REF!,"AAAAAC3ev3M=")</f>
        <v>#REF!</v>
      </c>
      <c r="DM12" t="e">
        <f>AND(Sheet1!Y94,"AAAAAC3ev3Q=")</f>
        <v>#VALUE!</v>
      </c>
      <c r="DN12" t="e">
        <f>AND(Sheet1!Z94,"AAAAAC3ev3U=")</f>
        <v>#VALUE!</v>
      </c>
      <c r="DO12" t="e">
        <f>AND(Sheet1!AA94,"AAAAAC3ev3Y=")</f>
        <v>#VALUE!</v>
      </c>
      <c r="DP12" t="e">
        <f>AND(Sheet1!AB94,"AAAAAC3ev3c=")</f>
        <v>#VALUE!</v>
      </c>
      <c r="DQ12" t="e">
        <f>AND(Sheet1!AC94,"AAAAAC3ev3g=")</f>
        <v>#VALUE!</v>
      </c>
      <c r="DR12">
        <f>IF(Sheet1!A:A,"AAAAAC3ev3k=",0)</f>
        <v>0</v>
      </c>
      <c r="DS12">
        <f>IF(Sheet1!B:B,"AAAAAC3ev3o=",0)</f>
        <v>0</v>
      </c>
      <c r="DT12">
        <f>IF(Sheet1!C:C,"AAAAAC3ev3s=",0)</f>
        <v>0</v>
      </c>
      <c r="DU12">
        <f>IF(Sheet1!D:D,"AAAAAC3ev3w=",0)</f>
        <v>0</v>
      </c>
      <c r="DV12">
        <f>IF(Sheet1!E:E,"AAAAAC3ev30=",0)</f>
        <v>0</v>
      </c>
      <c r="DW12">
        <f>IF(Sheet1!F:F,"AAAAAC3ev34=",0)</f>
        <v>0</v>
      </c>
      <c r="DX12">
        <f>IF(Sheet1!G:G,"AAAAAC3ev38=",0)</f>
        <v>0</v>
      </c>
      <c r="DY12">
        <f>IF(Sheet1!H:H,"AAAAAC3ev4A=",0)</f>
        <v>0</v>
      </c>
      <c r="DZ12">
        <f>IF(Sheet1!I:I,"AAAAAC3ev4E=",0)</f>
        <v>0</v>
      </c>
      <c r="EA12">
        <f>IF(Sheet1!J:J,"AAAAAC3ev4I=",0)</f>
        <v>0</v>
      </c>
      <c r="EB12">
        <f>IF(Sheet1!K:K,"AAAAAC3ev4M=",0)</f>
        <v>0</v>
      </c>
      <c r="EC12">
        <f>IF(Sheet1!L:L,"AAAAAC3ev4Q=",0)</f>
        <v>0</v>
      </c>
      <c r="ED12">
        <f>IF(Sheet1!M:M,"AAAAAC3ev4U=",0)</f>
        <v>0</v>
      </c>
      <c r="EE12">
        <f>IF(Sheet1!N:N,"AAAAAC3ev4Y=",0)</f>
        <v>0</v>
      </c>
      <c r="EF12" t="e">
        <f>IF(Sheet1!#REF!,"AAAAAC3ev4c=",0)</f>
        <v>#REF!</v>
      </c>
      <c r="EG12" t="e">
        <f>IF(Sheet1!#REF!,"AAAAAC3ev4g=",0)</f>
        <v>#REF!</v>
      </c>
      <c r="EH12">
        <f>IF(Sheet1!O:O,"AAAAAC3ev4k=",0)</f>
        <v>0</v>
      </c>
      <c r="EI12">
        <f>IF(Sheet1!Q:Q,"AAAAAC3ev4o=",0)</f>
        <v>0</v>
      </c>
      <c r="EJ12">
        <f>IF(Sheet1!R:R,"AAAAAC3ev4s=",0)</f>
        <v>0</v>
      </c>
      <c r="EK12">
        <f>IF(Sheet1!S:S,"AAAAAC3ev4w=",0)</f>
        <v>0</v>
      </c>
      <c r="EL12">
        <f>IF(Sheet1!T:T,"AAAAAC3ev40=",0)</f>
        <v>0</v>
      </c>
      <c r="EM12">
        <f>IF(Sheet1!U:U,"AAAAAC3ev44=",0)</f>
        <v>0</v>
      </c>
      <c r="EN12">
        <f>IF(Sheet1!V:V,"AAAAAC3ev48=",0)</f>
        <v>0</v>
      </c>
      <c r="EO12">
        <f>IF(Sheet1!W:W,"AAAAAC3ev5A=",0)</f>
        <v>0</v>
      </c>
      <c r="EP12">
        <f>IF(Sheet1!X:X,"AAAAAC3ev5E=",0)</f>
        <v>0</v>
      </c>
      <c r="EQ12" t="e">
        <f>IF(Sheet1!#REF!,"AAAAAC3ev5I=",0)</f>
        <v>#REF!</v>
      </c>
      <c r="ER12" t="e">
        <f>IF(Sheet1!#REF!,"AAAAAC3ev5M=",0)</f>
        <v>#REF!</v>
      </c>
      <c r="ES12">
        <f>IF(Sheet1!Y:Y,"AAAAAC3ev5Q=",0)</f>
        <v>0</v>
      </c>
      <c r="ET12">
        <f>IF(Sheet1!Z:Z,"AAAAAC3ev5U=",0)</f>
        <v>0</v>
      </c>
      <c r="EU12">
        <f>IF(Sheet1!AA:AA,"AAAAAC3ev5Y=",0)</f>
        <v>0</v>
      </c>
      <c r="EV12">
        <f>IF(Sheet1!AB:AB,"AAAAAC3ev5c=",0)</f>
        <v>0</v>
      </c>
      <c r="EW12">
        <f>IF(Sheet1!AC:AC,"AAAAAC3ev5g=",0)</f>
        <v>0</v>
      </c>
      <c r="EX12">
        <f>IF(Sheet2!1:1,"AAAAAC3ev5k=",0)</f>
        <v>0</v>
      </c>
      <c r="EY12" t="e">
        <f>AND(Sheet2!A1,"AAAAAC3ev5o=")</f>
        <v>#VALUE!</v>
      </c>
      <c r="EZ12" t="e">
        <f>AND(Sheet2!B1,"AAAAAC3ev5s=")</f>
        <v>#VALUE!</v>
      </c>
      <c r="FA12" t="e">
        <f>AND(Sheet2!C1,"AAAAAC3ev5w=")</f>
        <v>#VALUE!</v>
      </c>
      <c r="FB12" t="e">
        <f>AND(Sheet2!D1,"AAAAAC3ev50=")</f>
        <v>#VALUE!</v>
      </c>
      <c r="FC12" t="e">
        <f>AND(Sheet2!E1,"AAAAAC3ev54=")</f>
        <v>#VALUE!</v>
      </c>
      <c r="FD12">
        <f>IF(Sheet2!2:2,"AAAAAC3ev58=",0)</f>
        <v>0</v>
      </c>
      <c r="FE12" t="e">
        <f>AND(Sheet2!A2,"AAAAAC3ev6A=")</f>
        <v>#VALUE!</v>
      </c>
      <c r="FF12" t="e">
        <f>AND(Sheet2!B2,"AAAAAC3ev6E=")</f>
        <v>#VALUE!</v>
      </c>
      <c r="FG12" t="e">
        <f>AND(Sheet2!C2,"AAAAAC3ev6I=")</f>
        <v>#VALUE!</v>
      </c>
      <c r="FH12" t="e">
        <f>AND(Sheet2!D2,"AAAAAC3ev6M=")</f>
        <v>#VALUE!</v>
      </c>
      <c r="FI12" t="e">
        <f>AND(Sheet2!E2,"AAAAAC3ev6Q=")</f>
        <v>#VALUE!</v>
      </c>
      <c r="FJ12">
        <f>IF(Sheet2!3:3,"AAAAAC3ev6U=",0)</f>
        <v>0</v>
      </c>
      <c r="FK12" t="e">
        <f>AND(Sheet2!A3,"AAAAAC3ev6Y=")</f>
        <v>#VALUE!</v>
      </c>
      <c r="FL12" t="e">
        <f>AND(Sheet2!B3,"AAAAAC3ev6c=")</f>
        <v>#VALUE!</v>
      </c>
      <c r="FM12" t="e">
        <f>AND(Sheet2!C3,"AAAAAC3ev6g=")</f>
        <v>#VALUE!</v>
      </c>
      <c r="FN12" t="e">
        <f>AND(Sheet2!D3,"AAAAAC3ev6k=")</f>
        <v>#VALUE!</v>
      </c>
      <c r="FO12" t="e">
        <f>AND(Sheet2!E3,"AAAAAC3ev6o=")</f>
        <v>#VALUE!</v>
      </c>
      <c r="FP12">
        <f>IF(Sheet2!4:4,"AAAAAC3ev6s=",0)</f>
        <v>0</v>
      </c>
      <c r="FQ12" t="e">
        <f>AND(Sheet2!A4,"AAAAAC3ev6w=")</f>
        <v>#VALUE!</v>
      </c>
      <c r="FR12" t="e">
        <f>AND(Sheet2!B4,"AAAAAC3ev60=")</f>
        <v>#VALUE!</v>
      </c>
      <c r="FS12" t="e">
        <f>AND(Sheet2!C4,"AAAAAC3ev64=")</f>
        <v>#VALUE!</v>
      </c>
      <c r="FT12" t="e">
        <f>AND(Sheet2!D4,"AAAAAC3ev68=")</f>
        <v>#VALUE!</v>
      </c>
      <c r="FU12">
        <f>IF(Sheet2!5:5,"AAAAAC3ev7A=",0)</f>
        <v>0</v>
      </c>
      <c r="FV12" t="e">
        <f>AND(Sheet2!A5,"AAAAAC3ev7E=")</f>
        <v>#VALUE!</v>
      </c>
      <c r="FW12" t="e">
        <f>AND(Sheet2!B5,"AAAAAC3ev7I=")</f>
        <v>#VALUE!</v>
      </c>
      <c r="FX12" t="e">
        <f>AND(Sheet2!C5,"AAAAAC3ev7M=")</f>
        <v>#VALUE!</v>
      </c>
      <c r="FY12" t="e">
        <f>AND(Sheet2!D5,"AAAAAC3ev7Q=")</f>
        <v>#VALUE!</v>
      </c>
      <c r="FZ12">
        <f>IF(Sheet2!6:6,"AAAAAC3ev7U=",0)</f>
        <v>0</v>
      </c>
      <c r="GA12" t="e">
        <f>AND(Sheet2!A6,"AAAAAC3ev7Y=")</f>
        <v>#VALUE!</v>
      </c>
      <c r="GB12" t="e">
        <f>AND(Sheet2!B6,"AAAAAC3ev7c=")</f>
        <v>#VALUE!</v>
      </c>
      <c r="GC12" t="e">
        <f>AND(Sheet2!C6,"AAAAAC3ev7g=")</f>
        <v>#VALUE!</v>
      </c>
      <c r="GD12" t="e">
        <f>AND(Sheet2!D6,"AAAAAC3ev7k=")</f>
        <v>#VALUE!</v>
      </c>
      <c r="GE12">
        <f>IF(Sheet2!7:7,"AAAAAC3ev7o=",0)</f>
        <v>0</v>
      </c>
      <c r="GF12" t="e">
        <f>AND(Sheet2!A7,"AAAAAC3ev7s=")</f>
        <v>#VALUE!</v>
      </c>
      <c r="GG12" t="e">
        <f>AND(Sheet2!B7,"AAAAAC3ev7w=")</f>
        <v>#VALUE!</v>
      </c>
      <c r="GH12" t="e">
        <f>AND(Sheet2!C7,"AAAAAC3ev70=")</f>
        <v>#VALUE!</v>
      </c>
      <c r="GI12" t="e">
        <f>AND(Sheet2!D7,"AAAAAC3ev74=")</f>
        <v>#VALUE!</v>
      </c>
      <c r="GJ12">
        <f>IF(Sheet2!8:8,"AAAAAC3ev78=",0)</f>
        <v>0</v>
      </c>
      <c r="GK12" t="e">
        <f>AND(Sheet2!A8,"AAAAAC3ev8A=")</f>
        <v>#VALUE!</v>
      </c>
      <c r="GL12" t="e">
        <f>AND(Sheet2!B8,"AAAAAC3ev8E=")</f>
        <v>#VALUE!</v>
      </c>
      <c r="GM12" t="e">
        <f>AND(Sheet2!C8,"AAAAAC3ev8I=")</f>
        <v>#VALUE!</v>
      </c>
      <c r="GN12" t="e">
        <f>AND(Sheet2!D8,"AAAAAC3ev8M=")</f>
        <v>#VALUE!</v>
      </c>
      <c r="GO12">
        <f>IF(Sheet2!9:9,"AAAAAC3ev8Q=",0)</f>
        <v>0</v>
      </c>
      <c r="GP12" t="e">
        <f>AND(Sheet2!A9,"AAAAAC3ev8U=")</f>
        <v>#VALUE!</v>
      </c>
      <c r="GQ12" t="e">
        <f>AND(Sheet2!B9,"AAAAAC3ev8Y=")</f>
        <v>#VALUE!</v>
      </c>
      <c r="GR12" t="e">
        <f>AND(Sheet2!C9,"AAAAAC3ev8c=")</f>
        <v>#VALUE!</v>
      </c>
      <c r="GS12" t="e">
        <f>AND(Sheet2!D9,"AAAAAC3ev8g=")</f>
        <v>#VALUE!</v>
      </c>
      <c r="GT12">
        <f>IF(Sheet2!10:10,"AAAAAC3ev8k=",0)</f>
        <v>0</v>
      </c>
      <c r="GU12" t="e">
        <f>AND(Sheet2!A10,"AAAAAC3ev8o=")</f>
        <v>#VALUE!</v>
      </c>
      <c r="GV12" t="e">
        <f>AND(Sheet2!B10,"AAAAAC3ev8s=")</f>
        <v>#VALUE!</v>
      </c>
      <c r="GW12" t="e">
        <f>AND(Sheet2!C10,"AAAAAC3ev8w=")</f>
        <v>#VALUE!</v>
      </c>
      <c r="GX12" t="e">
        <f>AND(Sheet2!D10,"AAAAAC3ev80=")</f>
        <v>#VALUE!</v>
      </c>
      <c r="GY12">
        <f>IF(Sheet2!A:A,"AAAAAC3ev84=",0)</f>
        <v>0</v>
      </c>
      <c r="GZ12">
        <f>IF(Sheet2!B:B,"AAAAAC3ev88=",0)</f>
        <v>0</v>
      </c>
      <c r="HA12">
        <f>IF(Sheet2!C:C,"AAAAAC3ev9A=",0)</f>
        <v>0</v>
      </c>
      <c r="HB12">
        <f>IF(Sheet2!D:D,"AAAAAC3ev9E=",0)</f>
        <v>0</v>
      </c>
      <c r="HC12">
        <f>IF(Sheet2!E:E,"AAAAAC3ev9I=",0)</f>
        <v>0</v>
      </c>
      <c r="HD12">
        <f>IF(Sheet3!1:1,"AAAAAC3ev9M=",0)</f>
        <v>0</v>
      </c>
      <c r="HE12" t="e">
        <f>AND(Sheet3!A1,"AAAAAC3ev9Q=")</f>
        <v>#VALUE!</v>
      </c>
      <c r="HF12">
        <f>IF(Sheet3!A:A,"AAAAAC3ev9U=",0)</f>
        <v>0</v>
      </c>
      <c r="HG12" s="50" t="s">
        <v>47</v>
      </c>
      <c r="HH12" s="51" t="s">
        <v>48</v>
      </c>
      <c r="HI12" t="s">
        <v>49</v>
      </c>
      <c r="HJ12" t="e">
        <f>IF("N",A,"AAAAAC3ev9k=")</f>
        <v>#VALUE!</v>
      </c>
      <c r="HK12" t="e">
        <f>IF("N",B,"AAAAAC3ev9o=")</f>
        <v>#VALUE!</v>
      </c>
      <c r="HL12" t="e">
        <f>IF("N",H,"AAAAAC3ev9s=")</f>
        <v>#VALUE!</v>
      </c>
      <c r="HM12" t="e">
        <f>IF("N",Sheet1!_xlnm.Print_Area,"AAAAAC3ev9w=")</f>
        <v>#VALUE!</v>
      </c>
      <c r="HN12" t="e">
        <f>IF("N",X,"AAAAAC3ev90=")</f>
        <v>#VALUE!</v>
      </c>
      <c r="HO12" t="e">
        <f>IF("N",Y,"AAAAAC3ev94=")</f>
        <v>#VALUE!</v>
      </c>
      <c r="HP12" t="e">
        <f>IF("N",Z,"AAAAAC3ev98=")</f>
        <v>#VALUE!</v>
      </c>
    </row>
    <row r="13" spans="1:256" x14ac:dyDescent="0.25">
      <c r="A13" t="e">
        <f>AND(Sheet1!N9,"AAAAAD/9vQA=")</f>
        <v>#VALUE!</v>
      </c>
      <c r="B13" t="e">
        <f>AND(Sheet1!#REF!,"AAAAAD/9vQE=")</f>
        <v>#REF!</v>
      </c>
      <c r="C13" t="e">
        <f>AND(Sheet1!T41,"AAAAAD/9vQI=")</f>
        <v>#VALUE!</v>
      </c>
      <c r="D13" t="e">
        <f>AND(Sheet1!#REF!,"AAAAAD/9vQM=")</f>
        <v>#REF!</v>
      </c>
      <c r="E13" t="e">
        <f>AND(Sheet1!#REF!,"AAAAAD/9vQQ=")</f>
        <v>#REF!</v>
      </c>
      <c r="F13" t="e">
        <f>AND(Sheet1!#REF!,"AAAAAD/9vQU=")</f>
        <v>#REF!</v>
      </c>
      <c r="G13" t="e">
        <f>AND(Sheet1!#REF!,"AAAAAD/9vQY=")</f>
        <v>#REF!</v>
      </c>
      <c r="H13" t="e">
        <f>AND(Sheet1!#REF!,"AAAAAD/9vQc=")</f>
        <v>#REF!</v>
      </c>
      <c r="I13" t="e">
        <f>AND(Sheet1!#REF!,"AAAAAD/9vQg=")</f>
        <v>#REF!</v>
      </c>
      <c r="J13" t="e">
        <f>AND(Sheet1!#REF!,"AAAAAD/9vQk=")</f>
        <v>#REF!</v>
      </c>
      <c r="K13" t="e">
        <f>AND(Sheet1!Z41,"AAAAAD/9vQo=")</f>
        <v>#VALUE!</v>
      </c>
      <c r="L13" t="e">
        <f>AND(Sheet1!AA41,"AAAAAD/9vQs=")</f>
        <v>#VALUE!</v>
      </c>
      <c r="M13" t="e">
        <f>AND(Sheet1!AB41,"AAAAAD/9vQw=")</f>
        <v>#VALUE!</v>
      </c>
      <c r="N13" t="e">
        <f>AND(Sheet1!T42,"AAAAAD/9vQ0=")</f>
        <v>#VALUE!</v>
      </c>
      <c r="O13" t="e">
        <f>AND(Sheet1!U42,"AAAAAD/9vQ4=")</f>
        <v>#VALUE!</v>
      </c>
      <c r="P13" t="e">
        <f>AND(Sheet1!V42,"AAAAAD/9vQ8=")</f>
        <v>#VALUE!</v>
      </c>
      <c r="Q13" t="e">
        <f>AND(Sheet1!W42,"AAAAAD/9vRA=")</f>
        <v>#VALUE!</v>
      </c>
      <c r="R13" t="e">
        <f>AND(Sheet1!X42,"AAAAAD/9vRE=")</f>
        <v>#VALUE!</v>
      </c>
      <c r="S13" t="e">
        <f>AND(Sheet1!#REF!,"AAAAAD/9vRI=")</f>
        <v>#REF!</v>
      </c>
      <c r="T13" t="e">
        <f>AND(Sheet1!#REF!,"AAAAAD/9vRM=")</f>
        <v>#REF!</v>
      </c>
      <c r="U13" t="e">
        <f>AND(Sheet1!#REF!,"AAAAAD/9vRQ=")</f>
        <v>#REF!</v>
      </c>
      <c r="V13" t="e">
        <f>AND(Sheet1!Z42,"AAAAAD/9vRU=")</f>
        <v>#VALUE!</v>
      </c>
      <c r="W13" t="e">
        <f>AND(Sheet1!AA42,"AAAAAD/9vRY=")</f>
        <v>#VALUE!</v>
      </c>
      <c r="X13" t="e">
        <f>AND(Sheet1!AB42,"AAAAAD/9vRc=")</f>
        <v>#VALUE!</v>
      </c>
      <c r="Y13" t="e">
        <f>AND(Sheet1!I43,"AAAAAD/9vRg=")</f>
        <v>#VALUE!</v>
      </c>
    </row>
    <row r="14" spans="1:256" x14ac:dyDescent="0.25">
      <c r="A14" t="e">
        <f>AND(Sheet1!P1,"AAAAAH//wwA=")</f>
        <v>#VALUE!</v>
      </c>
      <c r="B14" t="e">
        <f>AND(Sheet1!P2,"AAAAAH//wwE=")</f>
        <v>#VALUE!</v>
      </c>
      <c r="C14" t="e">
        <f>AND(Sheet1!P3,"AAAAAH//wwI=")</f>
        <v>#VALUE!</v>
      </c>
      <c r="D14" t="e">
        <f>AND(Sheet1!P4,"AAAAAH//wwM=")</f>
        <v>#VALUE!</v>
      </c>
      <c r="E14" t="e">
        <f>AND(Sheet1!P5,"AAAAAH//wwQ=")</f>
        <v>#VALUE!</v>
      </c>
      <c r="F14" t="e">
        <f>AND(Sheet1!P6,"AAAAAH//wwU=")</f>
        <v>#VALUE!</v>
      </c>
      <c r="G14" t="e">
        <f>AND(Sheet1!P7,"AAAAAH//wwY=")</f>
        <v>#VALUE!</v>
      </c>
      <c r="H14" t="e">
        <f>AND(Sheet1!P8,"AAAAAH//wwc=")</f>
        <v>#VALUE!</v>
      </c>
      <c r="I14" t="e">
        <f>AND(Sheet1!P9,"AAAAAH//wwg=")</f>
        <v>#VALUE!</v>
      </c>
      <c r="J14" t="e">
        <f>AND(Sheet1!P10,"AAAAAH//wwk=")</f>
        <v>#VALUE!</v>
      </c>
      <c r="K14" t="e">
        <f>AND(Sheet1!P11,"AAAAAH//wwo=")</f>
        <v>#VALUE!</v>
      </c>
      <c r="L14" t="e">
        <f>AND(Sheet1!P12,"AAAAAH//wws=")</f>
        <v>#VALUE!</v>
      </c>
      <c r="M14" t="e">
        <f>AND(Sheet1!P13,"AAAAAH//www=")</f>
        <v>#VALUE!</v>
      </c>
      <c r="N14" t="e">
        <f>AND(Sheet1!P14,"AAAAAH//ww0=")</f>
        <v>#VALUE!</v>
      </c>
      <c r="O14" t="e">
        <f>AND(Sheet1!S15,"AAAAAH//ww4=")</f>
        <v>#VALUE!</v>
      </c>
      <c r="P14" t="e">
        <f>AND(Sheet1!S16,"AAAAAH//ww8=")</f>
        <v>#VALUE!</v>
      </c>
      <c r="Q14" t="e">
        <f>AND(Sheet1!P17,"AAAAAH//wxA=")</f>
        <v>#VALUE!</v>
      </c>
      <c r="R14" t="e">
        <f>AND(Sheet1!P18,"AAAAAH//wxE=")</f>
        <v>#VALUE!</v>
      </c>
      <c r="S14" t="e">
        <f>AND(Sheet1!P19,"AAAAAH//wxI=")</f>
        <v>#VALUE!</v>
      </c>
      <c r="T14" t="e">
        <f>AND(Sheet1!P20,"AAAAAH//wxM=")</f>
        <v>#VALUE!</v>
      </c>
      <c r="U14" t="e">
        <f>AND(Sheet1!P21,"AAAAAH//wxQ=")</f>
        <v>#VALUE!</v>
      </c>
      <c r="V14" t="e">
        <f>AND(Sheet1!P22,"AAAAAH//wxU=")</f>
        <v>#VALUE!</v>
      </c>
      <c r="W14" t="e">
        <f>AND(Sheet1!P23,"AAAAAH//wxY=")</f>
        <v>#VALUE!</v>
      </c>
      <c r="X14" t="e">
        <f>AND(Sheet1!P24,"AAAAAH//wxc=")</f>
        <v>#VALUE!</v>
      </c>
      <c r="Y14" t="e">
        <f>AND(Sheet1!P30,"AAAAAH//wxg=")</f>
        <v>#VALUE!</v>
      </c>
      <c r="Z14" t="e">
        <f>AND(Sheet1!P31,"AAAAAH//wxk=")</f>
        <v>#VALUE!</v>
      </c>
      <c r="AA14" t="e">
        <f>AND(Sheet1!P32,"AAAAAH//wxo=")</f>
        <v>#VALUE!</v>
      </c>
      <c r="AB14" t="e">
        <f>AND(Sheet1!#REF!,"AAAAAH//wxs=")</f>
        <v>#REF!</v>
      </c>
      <c r="AC14" t="e">
        <f>AND(Sheet1!#REF!,"AAAAAH//wxw=")</f>
        <v>#REF!</v>
      </c>
      <c r="AD14" t="e">
        <f>AND(Sheet1!P35,"AAAAAH//wx0=")</f>
        <v>#VALUE!</v>
      </c>
      <c r="AE14" t="e">
        <f>AND(Sheet1!P36,"AAAAAH//wx4=")</f>
        <v>#VALUE!</v>
      </c>
      <c r="AF14" t="e">
        <f>AND(Sheet1!P37,"AAAAAH//wx8=")</f>
        <v>#VALUE!</v>
      </c>
      <c r="AG14" t="e">
        <f>AND(Sheet1!P38,"AAAAAH//wyA=")</f>
        <v>#VALUE!</v>
      </c>
      <c r="AH14" t="e">
        <f>AND(Sheet1!P39,"AAAAAH//wyE=")</f>
        <v>#VALUE!</v>
      </c>
      <c r="AI14" t="e">
        <f>AND(Sheet1!P40,"AAAAAH//wyI=")</f>
        <v>#VALUE!</v>
      </c>
      <c r="AJ14" t="e">
        <f>AND(Sheet1!P41,"AAAAAH//wyM=")</f>
        <v>#VALUE!</v>
      </c>
      <c r="AK14" t="e">
        <f>AND(Sheet1!P42,"AAAAAH//wyQ=")</f>
        <v>#VALUE!</v>
      </c>
      <c r="AL14" t="e">
        <f>AND(Sheet1!P43,"AAAAAH//wyU=")</f>
        <v>#VALUE!</v>
      </c>
      <c r="AM14" t="e">
        <f>AND(Sheet1!P44,"AAAAAH//wyY=")</f>
        <v>#VALUE!</v>
      </c>
      <c r="AN14" t="e">
        <f>AND(Sheet1!P45,"AAAAAH//wyc=")</f>
        <v>#VALUE!</v>
      </c>
      <c r="AO14" t="e">
        <f>AND(Sheet1!#REF!,"AAAAAH//wyg=")</f>
        <v>#REF!</v>
      </c>
      <c r="AP14" t="e">
        <f>AND(Sheet1!P47,"AAAAAH//wyk=")</f>
        <v>#VALUE!</v>
      </c>
      <c r="AQ14" t="e">
        <f>AND(Sheet1!P48,"AAAAAH//wyo=")</f>
        <v>#VALUE!</v>
      </c>
      <c r="AR14" t="e">
        <f>AND(Sheet1!P49,"AAAAAH//wys=")</f>
        <v>#VALUE!</v>
      </c>
      <c r="AS14" t="e">
        <f>AND(Sheet1!P50,"AAAAAH//wyw=")</f>
        <v>#VALUE!</v>
      </c>
      <c r="AT14" t="e">
        <f>AND(Sheet1!P51,"AAAAAH//wy0=")</f>
        <v>#VALUE!</v>
      </c>
      <c r="AU14" t="e">
        <f>AND(Sheet1!P52,"AAAAAH//wy4=")</f>
        <v>#VALUE!</v>
      </c>
      <c r="AV14" t="e">
        <f>AND(Sheet1!P53,"AAAAAH//wy8=")</f>
        <v>#VALUE!</v>
      </c>
      <c r="AW14" t="e">
        <f>AND(Sheet1!P54,"AAAAAH//wzA=")</f>
        <v>#VALUE!</v>
      </c>
      <c r="AX14" t="e">
        <f>AND(Sheet1!P55,"AAAAAH//wzE=")</f>
        <v>#VALUE!</v>
      </c>
      <c r="AY14" t="e">
        <f>AND(Sheet1!P56,"AAAAAH//wzI=")</f>
        <v>#VALUE!</v>
      </c>
      <c r="AZ14" t="e">
        <f>AND(Sheet1!P57,"AAAAAH//wzM=")</f>
        <v>#VALUE!</v>
      </c>
      <c r="BA14" t="e">
        <f>AND(Sheet1!P58,"AAAAAH//wzQ=")</f>
        <v>#VALUE!</v>
      </c>
      <c r="BB14" t="e">
        <f>AND(Sheet1!P59,"AAAAAH//wzU=")</f>
        <v>#VALUE!</v>
      </c>
      <c r="BC14" t="e">
        <f>AND(Sheet1!P60,"AAAAAH//wzY=")</f>
        <v>#VALUE!</v>
      </c>
      <c r="BD14" t="e">
        <f>AND(Sheet1!P61,"AAAAAH//wzc=")</f>
        <v>#VALUE!</v>
      </c>
      <c r="BE14" t="e">
        <f>AND(Sheet1!P62,"AAAAAH//wzg=")</f>
        <v>#VALUE!</v>
      </c>
      <c r="BF14" t="e">
        <f>AND(Sheet1!P63,"AAAAAH//wzk=")</f>
        <v>#VALUE!</v>
      </c>
      <c r="BG14" t="e">
        <f>AND(Sheet1!P64,"AAAAAH//wzo=")</f>
        <v>#VALUE!</v>
      </c>
      <c r="BH14" t="e">
        <f>AND(Sheet1!P65,"AAAAAH//wzs=")</f>
        <v>#VALUE!</v>
      </c>
      <c r="BI14" t="e">
        <f>AND(Sheet1!P66,"AAAAAH//wzw=")</f>
        <v>#VALUE!</v>
      </c>
      <c r="BJ14" t="e">
        <f>AND(Sheet1!P67,"AAAAAH//wz0=")</f>
        <v>#VALUE!</v>
      </c>
      <c r="BK14" t="e">
        <f>AND(Sheet1!P68,"AAAAAH//wz4=")</f>
        <v>#VALUE!</v>
      </c>
      <c r="BL14" t="e">
        <f>AND(Sheet1!P69,"AAAAAH//wz8=")</f>
        <v>#VALUE!</v>
      </c>
      <c r="BM14" t="e">
        <f>AND(Sheet1!P70,"AAAAAH//w0A=")</f>
        <v>#VALUE!</v>
      </c>
      <c r="BN14" t="e">
        <f>AND(Sheet1!P71,"AAAAAH//w0E=")</f>
        <v>#VALUE!</v>
      </c>
      <c r="BO14" t="e">
        <f>AND(Sheet1!P72,"AAAAAH//w0I=")</f>
        <v>#VALUE!</v>
      </c>
      <c r="BP14" t="e">
        <f>AND(Sheet1!P73,"AAAAAH//w0M=")</f>
        <v>#VALUE!</v>
      </c>
      <c r="BQ14" t="e">
        <f>AND(Sheet1!P74,"AAAAAH//w0Q=")</f>
        <v>#VALUE!</v>
      </c>
      <c r="BR14" t="e">
        <f>AND(Sheet1!P75,"AAAAAH//w0U=")</f>
        <v>#VALUE!</v>
      </c>
      <c r="BS14" t="e">
        <f>AND(Sheet1!P76,"AAAAAH//w0Y=")</f>
        <v>#VALUE!</v>
      </c>
      <c r="BT14" t="e">
        <f>AND(Sheet1!P77,"AAAAAH//w0c=")</f>
        <v>#VALUE!</v>
      </c>
      <c r="BU14" t="e">
        <f>AND(Sheet1!P78,"AAAAAH//w0g=")</f>
        <v>#VALUE!</v>
      </c>
      <c r="BV14" t="e">
        <f>AND(Sheet1!P79,"AAAAAH//w0k=")</f>
        <v>#VALUE!</v>
      </c>
      <c r="BW14" t="e">
        <f>AND(Sheet1!P80,"AAAAAH//w0o=")</f>
        <v>#VALUE!</v>
      </c>
      <c r="BX14" t="e">
        <f>AND(Sheet1!P81,"AAAAAH//w0s=")</f>
        <v>#VALUE!</v>
      </c>
      <c r="BY14" t="e">
        <f>AND(Sheet1!P82,"AAAAAH//w0w=")</f>
        <v>#VALUE!</v>
      </c>
      <c r="BZ14" t="e">
        <f>AND(Sheet1!P83,"AAAAAH//w00=")</f>
        <v>#VALUE!</v>
      </c>
      <c r="CA14" t="e">
        <f>AND(Sheet1!P84,"AAAAAH//w04=")</f>
        <v>#VALUE!</v>
      </c>
      <c r="CB14" t="e">
        <f>AND(Sheet1!P85,"AAAAAH//w08=")</f>
        <v>#VALUE!</v>
      </c>
      <c r="CC14" t="e">
        <f>AND(Sheet1!P86,"AAAAAH//w1A=")</f>
        <v>#VALUE!</v>
      </c>
      <c r="CD14" t="e">
        <f>AND(Sheet1!P87,"AAAAAH//w1E=")</f>
        <v>#VALUE!</v>
      </c>
      <c r="CE14" t="e">
        <f>AND(Sheet1!P88,"AAAAAH//w1I=")</f>
        <v>#VALUE!</v>
      </c>
      <c r="CF14" t="e">
        <f>AND(Sheet1!P89,"AAAAAH//w1M=")</f>
        <v>#VALUE!</v>
      </c>
      <c r="CG14" t="e">
        <f>AND(Sheet1!P90,"AAAAAH//w1Q=")</f>
        <v>#VALUE!</v>
      </c>
      <c r="CH14" t="e">
        <f>AND(Sheet1!P91,"AAAAAH//w1U=")</f>
        <v>#VALUE!</v>
      </c>
      <c r="CI14" t="e">
        <f>AND(Sheet1!P92,"AAAAAH//w1Y=")</f>
        <v>#VALUE!</v>
      </c>
      <c r="CJ14" t="e">
        <f>AND(Sheet1!P93,"AAAAAH//w1c=")</f>
        <v>#VALUE!</v>
      </c>
      <c r="CK14" t="e">
        <f>AND(Sheet1!P94,"AAAAAH//w1g=")</f>
        <v>#VALUE!</v>
      </c>
      <c r="CL14">
        <f>IF(Sheet1!P:P,"AAAAAH//w1k=",0)</f>
        <v>0</v>
      </c>
    </row>
  </sheetData>
  <pageMargins left="0.7" right="0.7" top="0.75" bottom="0.75" header="0.3" footer="0.3"/>
  <customProperties>
    <customPr name="DVSECTION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3</vt:i4>
      </vt:variant>
      <vt:variant>
        <vt:lpstr>Diapazoni ar nosaukumiem</vt:lpstr>
      </vt:variant>
      <vt:variant>
        <vt:i4>7</vt:i4>
      </vt:variant>
    </vt:vector>
  </HeadingPairs>
  <TitlesOfParts>
    <vt:vector size="10" baseType="lpstr">
      <vt:lpstr>Sheet1</vt:lpstr>
      <vt:lpstr>Sheet2</vt:lpstr>
      <vt:lpstr>Sheet3</vt:lpstr>
      <vt:lpstr>A</vt:lpstr>
      <vt:lpstr>B</vt:lpstr>
      <vt:lpstr>Sheet1!Drukas_apgabals</vt:lpstr>
      <vt:lpstr>H</vt:lpstr>
      <vt:lpstr>X</vt:lpstr>
      <vt:lpstr>Y</vt:lpstr>
      <vt:lpstr>Z</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Mirdza Martukāne</dc:creator>
  <cp:lastModifiedBy>Administrator</cp:lastModifiedBy>
  <cp:lastPrinted>2015-07-10T12:14:12Z</cp:lastPrinted>
  <dcterms:created xsi:type="dcterms:W3CDTF">2011-05-23T08:30:11Z</dcterms:created>
  <dcterms:modified xsi:type="dcterms:W3CDTF">2015-07-14T13:54:56Z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true</vt:lpwstr>
  </property>
  <property fmtid="{D5CDD505-2E9C-101B-9397-08002B2CF9AE}" pid="3" name="Google.Documents.DocumentId">
    <vt:lpwstr>1NjLE965YDhD5CtgwuYYp0e9z-3RAd5yn6V_RddRU1AY</vt:lpwstr>
  </property>
  <property fmtid="{D5CDD505-2E9C-101B-9397-08002B2CF9AE}" pid="4" name="Google.Documents.RevisionId">
    <vt:lpwstr>15157222425822863030</vt:lpwstr>
  </property>
  <property fmtid="{D5CDD505-2E9C-101B-9397-08002B2CF9AE}" pid="5" name="Google.Documents.PreviousRevisionId">
    <vt:lpwstr>05513854831579580370</vt:lpwstr>
  </property>
  <property fmtid="{D5CDD505-2E9C-101B-9397-08002B2CF9AE}" pid="6" name="Google.Documents.PluginVersion">
    <vt:lpwstr>2.0.2662.553</vt:lpwstr>
  </property>
  <property fmtid="{D5CDD505-2E9C-101B-9397-08002B2CF9AE}" pid="7" name="Google.Documents.MergeIncapabilityFlags">
    <vt:i4>0</vt:i4>
  </property>
</Properties>
</file>